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/>
  <mc:AlternateContent xmlns:mc="http://schemas.openxmlformats.org/markup-compatibility/2006">
    <mc:Choice Requires="x15">
      <x15ac:absPath xmlns:x15ac="http://schemas.microsoft.com/office/spreadsheetml/2010/11/ac" url="D:\ARCHIVOS 2022\COLEGIO SANTA ROSA\COLEGIO SANTA ROSA\AMPL.PRES.N°07 S.R\II. MEMORIA DESCRIPTIVA\"/>
    </mc:Choice>
  </mc:AlternateContent>
  <xr:revisionPtr revIDLastSave="0" documentId="8_{FE722B10-45B0-4E4A-A7E6-28BBD5D93EBA}" xr6:coauthVersionLast="37" xr6:coauthVersionMax="37" xr10:uidLastSave="{00000000-0000-0000-0000-000000000000}"/>
  <bookViews>
    <workbookView xWindow="0" yWindow="0" windowWidth="23040" windowHeight="8940" activeTab="5" xr2:uid="{00000000-000D-0000-FFFF-FFFF00000000}"/>
  </bookViews>
  <sheets>
    <sheet name="SIST. 1_P1" sheetId="1" r:id="rId1"/>
    <sheet name="SIST. 2_P1" sheetId="3" r:id="rId2"/>
    <sheet name="SIST. 1_P2" sheetId="10" r:id="rId3"/>
    <sheet name="SIST. 2_P2" sheetId="11" r:id="rId4"/>
    <sheet name="SIST. 1_P3" sheetId="14" r:id="rId5"/>
    <sheet name="SIST. 2_P3" sheetId="16" r:id="rId6"/>
    <sheet name="Hoja1" sheetId="15" r:id="rId7"/>
  </sheets>
  <definedNames>
    <definedName name="_xlnm.Print_Area" localSheetId="2">'SIST. 1_P2'!$A$1:$K$369</definedName>
    <definedName name="_xlnm.Print_Area" localSheetId="5">'SIST. 2_P3'!$A$1:$K$734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29" i="16" l="1"/>
  <c r="B729" i="16"/>
  <c r="A729" i="16"/>
  <c r="B724" i="16"/>
  <c r="E729" i="16" s="1"/>
  <c r="B708" i="16"/>
  <c r="A708" i="16"/>
  <c r="E708" i="16" s="1"/>
  <c r="B703" i="16"/>
  <c r="D708" i="16" s="1"/>
  <c r="J689" i="16"/>
  <c r="I689" i="16"/>
  <c r="G689" i="16"/>
  <c r="I691" i="16" s="1"/>
  <c r="E689" i="16"/>
  <c r="D689" i="16"/>
  <c r="C689" i="16"/>
  <c r="B689" i="16"/>
  <c r="F689" i="16" s="1"/>
  <c r="B676" i="16"/>
  <c r="F676" i="16" s="1"/>
  <c r="B675" i="16"/>
  <c r="F675" i="16" s="1"/>
  <c r="G675" i="16" s="1"/>
  <c r="E665" i="16"/>
  <c r="B665" i="16"/>
  <c r="A665" i="16"/>
  <c r="C665" i="16" s="1"/>
  <c r="F665" i="16" s="1"/>
  <c r="B660" i="16"/>
  <c r="B644" i="16"/>
  <c r="A644" i="16"/>
  <c r="B639" i="16"/>
  <c r="E644" i="16" s="1"/>
  <c r="F633" i="16"/>
  <c r="G633" i="16" s="1"/>
  <c r="B633" i="16"/>
  <c r="B622" i="16"/>
  <c r="A622" i="16"/>
  <c r="B617" i="16"/>
  <c r="C622" i="16" s="1"/>
  <c r="B611" i="16"/>
  <c r="F611" i="16" s="1"/>
  <c r="I602" i="16"/>
  <c r="H602" i="16"/>
  <c r="G602" i="16"/>
  <c r="J602" i="16" s="1"/>
  <c r="D602" i="16"/>
  <c r="C602" i="16"/>
  <c r="B602" i="16"/>
  <c r="F589" i="16"/>
  <c r="B589" i="16"/>
  <c r="B588" i="16"/>
  <c r="F588" i="16" s="1"/>
  <c r="G588" i="16" s="1"/>
  <c r="B577" i="16"/>
  <c r="A577" i="16"/>
  <c r="B572" i="16"/>
  <c r="D577" i="16" s="1"/>
  <c r="B566" i="16"/>
  <c r="F566" i="16" s="1"/>
  <c r="G566" i="16" s="1"/>
  <c r="F565" i="16"/>
  <c r="B565" i="16"/>
  <c r="B555" i="16"/>
  <c r="A555" i="16"/>
  <c r="B550" i="16"/>
  <c r="E555" i="16" s="1"/>
  <c r="B544" i="16"/>
  <c r="F544" i="16" s="1"/>
  <c r="B533" i="16"/>
  <c r="A533" i="16"/>
  <c r="B528" i="16"/>
  <c r="E533" i="16" s="1"/>
  <c r="B522" i="16"/>
  <c r="F522" i="16" s="1"/>
  <c r="B521" i="16"/>
  <c r="F521" i="16" s="1"/>
  <c r="B520" i="16"/>
  <c r="F520" i="16" s="1"/>
  <c r="B509" i="16"/>
  <c r="A509" i="16"/>
  <c r="B504" i="16"/>
  <c r="E509" i="16" s="1"/>
  <c r="I490" i="16"/>
  <c r="H490" i="16"/>
  <c r="G490" i="16"/>
  <c r="J490" i="16" s="1"/>
  <c r="D490" i="16"/>
  <c r="C490" i="16"/>
  <c r="B490" i="16"/>
  <c r="F476" i="16"/>
  <c r="B476" i="16"/>
  <c r="F475" i="16"/>
  <c r="G479" i="16" s="1"/>
  <c r="B482" i="16" s="1"/>
  <c r="B475" i="16"/>
  <c r="I467" i="16"/>
  <c r="G467" i="16"/>
  <c r="D467" i="16"/>
  <c r="C467" i="16"/>
  <c r="B467" i="16"/>
  <c r="B454" i="16"/>
  <c r="F454" i="16" s="1"/>
  <c r="G454" i="16" s="1"/>
  <c r="B453" i="16"/>
  <c r="F453" i="16" s="1"/>
  <c r="B442" i="16"/>
  <c r="A442" i="16"/>
  <c r="B437" i="16"/>
  <c r="E442" i="16" s="1"/>
  <c r="B431" i="16"/>
  <c r="F431" i="16" s="1"/>
  <c r="G431" i="16" s="1"/>
  <c r="I424" i="16"/>
  <c r="J422" i="16"/>
  <c r="I422" i="16"/>
  <c r="H422" i="16"/>
  <c r="G422" i="16"/>
  <c r="D422" i="16"/>
  <c r="C422" i="16"/>
  <c r="B422" i="16"/>
  <c r="F409" i="16"/>
  <c r="B409" i="16"/>
  <c r="B408" i="16"/>
  <c r="F408" i="16" s="1"/>
  <c r="I399" i="16"/>
  <c r="G399" i="16"/>
  <c r="J399" i="16" s="1"/>
  <c r="D399" i="16"/>
  <c r="C399" i="16"/>
  <c r="B399" i="16"/>
  <c r="F385" i="16"/>
  <c r="B385" i="16"/>
  <c r="I376" i="16"/>
  <c r="G376" i="16"/>
  <c r="J376" i="16" s="1"/>
  <c r="D376" i="16"/>
  <c r="C376" i="16"/>
  <c r="B376" i="16"/>
  <c r="F362" i="16"/>
  <c r="B362" i="16"/>
  <c r="B351" i="16"/>
  <c r="A351" i="16"/>
  <c r="B346" i="16"/>
  <c r="C351" i="16" s="1"/>
  <c r="J332" i="16"/>
  <c r="I332" i="16"/>
  <c r="G332" i="16"/>
  <c r="E332" i="16"/>
  <c r="D332" i="16"/>
  <c r="C332" i="16"/>
  <c r="B332" i="16"/>
  <c r="F332" i="16" s="1"/>
  <c r="F318" i="16"/>
  <c r="B318" i="16"/>
  <c r="I311" i="16"/>
  <c r="I309" i="16"/>
  <c r="H309" i="16"/>
  <c r="G309" i="16"/>
  <c r="J309" i="16" s="1"/>
  <c r="D309" i="16"/>
  <c r="C309" i="16"/>
  <c r="B309" i="16"/>
  <c r="F297" i="16"/>
  <c r="B297" i="16"/>
  <c r="I290" i="16"/>
  <c r="J288" i="16"/>
  <c r="I288" i="16"/>
  <c r="H288" i="16"/>
  <c r="G288" i="16"/>
  <c r="D288" i="16"/>
  <c r="E288" i="16" s="1"/>
  <c r="F288" i="16" s="1"/>
  <c r="C288" i="16"/>
  <c r="B288" i="16"/>
  <c r="B276" i="16"/>
  <c r="F276" i="16" s="1"/>
  <c r="B275" i="16"/>
  <c r="F275" i="16" s="1"/>
  <c r="G278" i="16" s="1"/>
  <c r="B280" i="16" s="1"/>
  <c r="B266" i="16"/>
  <c r="A266" i="16"/>
  <c r="B261" i="16"/>
  <c r="C266" i="16" s="1"/>
  <c r="I250" i="16"/>
  <c r="J248" i="16"/>
  <c r="I248" i="16"/>
  <c r="H248" i="16"/>
  <c r="G248" i="16"/>
  <c r="E248" i="16"/>
  <c r="D248" i="16"/>
  <c r="C248" i="16"/>
  <c r="B248" i="16"/>
  <c r="F248" i="16" s="1"/>
  <c r="B235" i="16"/>
  <c r="F235" i="16" s="1"/>
  <c r="F234" i="16"/>
  <c r="B234" i="16"/>
  <c r="D224" i="16"/>
  <c r="B224" i="16"/>
  <c r="A224" i="16"/>
  <c r="B219" i="16"/>
  <c r="F213" i="16"/>
  <c r="B213" i="16"/>
  <c r="I204" i="16"/>
  <c r="G204" i="16"/>
  <c r="J204" i="16" s="1"/>
  <c r="E204" i="16"/>
  <c r="D204" i="16"/>
  <c r="C204" i="16"/>
  <c r="B204" i="16"/>
  <c r="F190" i="16"/>
  <c r="B190" i="16"/>
  <c r="F189" i="16"/>
  <c r="B189" i="16"/>
  <c r="B177" i="16"/>
  <c r="A177" i="16"/>
  <c r="B172" i="16"/>
  <c r="C177" i="16" s="1"/>
  <c r="I160" i="16"/>
  <c r="J158" i="16"/>
  <c r="I158" i="16"/>
  <c r="H158" i="16"/>
  <c r="G158" i="16"/>
  <c r="E158" i="16"/>
  <c r="D158" i="16"/>
  <c r="C158" i="16"/>
  <c r="B158" i="16"/>
  <c r="F158" i="16" s="1"/>
  <c r="B146" i="16"/>
  <c r="F146" i="16" s="1"/>
  <c r="F145" i="16"/>
  <c r="B145" i="16"/>
  <c r="B144" i="16"/>
  <c r="F144" i="16" s="1"/>
  <c r="J135" i="16"/>
  <c r="I135" i="16"/>
  <c r="G135" i="16"/>
  <c r="I137" i="16" s="1"/>
  <c r="E135" i="16"/>
  <c r="D135" i="16"/>
  <c r="C135" i="16"/>
  <c r="B135" i="16"/>
  <c r="F135" i="16" s="1"/>
  <c r="B123" i="16"/>
  <c r="F123" i="16" s="1"/>
  <c r="F122" i="16"/>
  <c r="B122" i="16"/>
  <c r="B121" i="16"/>
  <c r="F121" i="16" s="1"/>
  <c r="B110" i="16"/>
  <c r="A110" i="16"/>
  <c r="B105" i="16"/>
  <c r="C110" i="16" s="1"/>
  <c r="J91" i="16"/>
  <c r="I91" i="16"/>
  <c r="I93" i="16" s="1"/>
  <c r="H91" i="16"/>
  <c r="G91" i="16"/>
  <c r="E91" i="16"/>
  <c r="F91" i="16" s="1"/>
  <c r="D91" i="16"/>
  <c r="C91" i="16"/>
  <c r="B91" i="16"/>
  <c r="B79" i="16"/>
  <c r="F79" i="16" s="1"/>
  <c r="F78" i="16"/>
  <c r="B78" i="16"/>
  <c r="B77" i="16"/>
  <c r="F77" i="16" s="1"/>
  <c r="J69" i="16"/>
  <c r="I69" i="16"/>
  <c r="G69" i="16"/>
  <c r="I71" i="16" s="1"/>
  <c r="D69" i="16"/>
  <c r="C69" i="16"/>
  <c r="E69" i="16" s="1"/>
  <c r="F69" i="16" s="1"/>
  <c r="B69" i="16"/>
  <c r="B57" i="16"/>
  <c r="F57" i="16" s="1"/>
  <c r="G59" i="16" s="1"/>
  <c r="B61" i="16" s="1"/>
  <c r="K69" i="16" s="1"/>
  <c r="I72" i="16" s="1"/>
  <c r="J49" i="16"/>
  <c r="I49" i="16"/>
  <c r="G49" i="16"/>
  <c r="I51" i="16" s="1"/>
  <c r="D49" i="16"/>
  <c r="C49" i="16"/>
  <c r="E49" i="16" s="1"/>
  <c r="F49" i="16" s="1"/>
  <c r="B49" i="16"/>
  <c r="B37" i="16"/>
  <c r="F37" i="16" s="1"/>
  <c r="G39" i="16" s="1"/>
  <c r="B41" i="16" s="1"/>
  <c r="B31" i="16"/>
  <c r="F31" i="16" s="1"/>
  <c r="G31" i="16" s="1"/>
  <c r="B30" i="16"/>
  <c r="F30" i="16" s="1"/>
  <c r="G30" i="16" s="1"/>
  <c r="B29" i="16"/>
  <c r="F29" i="16" s="1"/>
  <c r="G29" i="16" s="1"/>
  <c r="B28" i="16"/>
  <c r="F28" i="16" s="1"/>
  <c r="G28" i="16" s="1"/>
  <c r="B27" i="16"/>
  <c r="F27" i="16" s="1"/>
  <c r="G27" i="16" s="1"/>
  <c r="B26" i="16"/>
  <c r="F26" i="16" s="1"/>
  <c r="G26" i="16" s="1"/>
  <c r="F25" i="16"/>
  <c r="G25" i="16" s="1"/>
  <c r="B25" i="16"/>
  <c r="F24" i="16"/>
  <c r="G24" i="16" s="1"/>
  <c r="B24" i="16"/>
  <c r="B23" i="16"/>
  <c r="F23" i="16" s="1"/>
  <c r="G23" i="16" s="1"/>
  <c r="B22" i="16"/>
  <c r="F22" i="16" s="1"/>
  <c r="G22" i="16" s="1"/>
  <c r="B21" i="16"/>
  <c r="F21" i="16" s="1"/>
  <c r="G21" i="16" s="1"/>
  <c r="K49" i="16" l="1"/>
  <c r="I52" i="16" s="1"/>
  <c r="F76" i="16"/>
  <c r="G81" i="16" s="1"/>
  <c r="B83" i="16" s="1"/>
  <c r="F32" i="16"/>
  <c r="K288" i="16"/>
  <c r="I291" i="16" s="1"/>
  <c r="F296" i="16"/>
  <c r="G299" i="16" s="1"/>
  <c r="B301" i="16" s="1"/>
  <c r="F309" i="16"/>
  <c r="F498" i="16"/>
  <c r="G500" i="16" s="1"/>
  <c r="B502" i="16" s="1"/>
  <c r="K490" i="16"/>
  <c r="I493" i="16" s="1"/>
  <c r="G568" i="16"/>
  <c r="B570" i="16" s="1"/>
  <c r="D177" i="16"/>
  <c r="I206" i="16"/>
  <c r="D266" i="16"/>
  <c r="E351" i="16"/>
  <c r="F351" i="16" s="1"/>
  <c r="D442" i="16"/>
  <c r="I469" i="16"/>
  <c r="H467" i="16"/>
  <c r="F490" i="16"/>
  <c r="D555" i="16"/>
  <c r="F602" i="16"/>
  <c r="E622" i="16"/>
  <c r="F622" i="16" s="1"/>
  <c r="D644" i="16"/>
  <c r="D110" i="16"/>
  <c r="E177" i="16"/>
  <c r="F177" i="16" s="1"/>
  <c r="F204" i="16"/>
  <c r="H204" i="16"/>
  <c r="C224" i="16"/>
  <c r="E224" i="16"/>
  <c r="E266" i="16"/>
  <c r="F266" i="16" s="1"/>
  <c r="I334" i="16"/>
  <c r="H332" i="16"/>
  <c r="E376" i="16"/>
  <c r="F376" i="16" s="1"/>
  <c r="H376" i="16"/>
  <c r="I378" i="16"/>
  <c r="E399" i="16"/>
  <c r="F399" i="16" s="1"/>
  <c r="D665" i="16"/>
  <c r="E110" i="16"/>
  <c r="F110" i="16" s="1"/>
  <c r="H49" i="16"/>
  <c r="H69" i="16"/>
  <c r="H135" i="16"/>
  <c r="E422" i="16"/>
  <c r="F422" i="16" s="1"/>
  <c r="E467" i="16"/>
  <c r="F467" i="16" s="1"/>
  <c r="J467" i="16"/>
  <c r="E490" i="16"/>
  <c r="C509" i="16"/>
  <c r="F509" i="16" s="1"/>
  <c r="C533" i="16"/>
  <c r="F533" i="16" s="1"/>
  <c r="E602" i="16"/>
  <c r="E309" i="16"/>
  <c r="D351" i="16"/>
  <c r="I401" i="16"/>
  <c r="H399" i="16"/>
  <c r="C442" i="16"/>
  <c r="F442" i="16" s="1"/>
  <c r="I492" i="16"/>
  <c r="D509" i="16"/>
  <c r="D533" i="16"/>
  <c r="C555" i="16"/>
  <c r="F555" i="16" s="1"/>
  <c r="C577" i="16"/>
  <c r="E577" i="16"/>
  <c r="I604" i="16"/>
  <c r="D622" i="16"/>
  <c r="C644" i="16"/>
  <c r="F644" i="16" s="1"/>
  <c r="G678" i="16"/>
  <c r="B681" i="16" s="1"/>
  <c r="F729" i="16"/>
  <c r="D729" i="16"/>
  <c r="H689" i="16"/>
  <c r="C708" i="16"/>
  <c r="F708" i="16" s="1"/>
  <c r="K689" i="16" l="1"/>
  <c r="I692" i="16" s="1"/>
  <c r="F697" i="16"/>
  <c r="G699" i="16" s="1"/>
  <c r="B701" i="16" s="1"/>
  <c r="F587" i="16"/>
  <c r="G591" i="16" s="1"/>
  <c r="B594" i="16" s="1"/>
  <c r="G577" i="16"/>
  <c r="F580" i="16" s="1"/>
  <c r="E582" i="16"/>
  <c r="F577" i="16"/>
  <c r="F579" i="16" s="1"/>
  <c r="K91" i="16"/>
  <c r="I94" i="16" s="1"/>
  <c r="F99" i="16"/>
  <c r="G101" i="16" s="1"/>
  <c r="B103" i="16" s="1"/>
  <c r="F302" i="16"/>
  <c r="K309" i="16"/>
  <c r="I312" i="16" s="1"/>
  <c r="F317" i="16"/>
  <c r="G321" i="16" s="1"/>
  <c r="B324" i="16" s="1"/>
  <c r="E514" i="16"/>
  <c r="F511" i="16"/>
  <c r="G509" i="16"/>
  <c r="F512" i="16" s="1"/>
  <c r="F519" i="16"/>
  <c r="G524" i="16" s="1"/>
  <c r="B526" i="16" s="1"/>
  <c r="F224" i="16"/>
  <c r="F610" i="16" l="1"/>
  <c r="G613" i="16" s="1"/>
  <c r="B615" i="16" s="1"/>
  <c r="K602" i="16"/>
  <c r="I605" i="16" s="1"/>
  <c r="E538" i="16"/>
  <c r="F535" i="16"/>
  <c r="G533" i="16"/>
  <c r="F536" i="16" s="1"/>
  <c r="F340" i="16"/>
  <c r="G342" i="16" s="1"/>
  <c r="B344" i="16" s="1"/>
  <c r="K332" i="16"/>
  <c r="I335" i="16" s="1"/>
  <c r="F710" i="16"/>
  <c r="G708" i="16"/>
  <c r="F711" i="16" s="1"/>
  <c r="E713" i="16"/>
  <c r="F120" i="16"/>
  <c r="G125" i="16" s="1"/>
  <c r="B127" i="16" s="1"/>
  <c r="G110" i="16"/>
  <c r="F113" i="16" s="1"/>
  <c r="F112" i="16"/>
  <c r="E115" i="16"/>
  <c r="K135" i="16" l="1"/>
  <c r="I138" i="16" s="1"/>
  <c r="F143" i="16"/>
  <c r="G148" i="16" s="1"/>
  <c r="B150" i="16" s="1"/>
  <c r="F361" i="16"/>
  <c r="G365" i="16" s="1"/>
  <c r="B368" i="16" s="1"/>
  <c r="G351" i="16"/>
  <c r="F354" i="16" s="1"/>
  <c r="F353" i="16"/>
  <c r="E356" i="16"/>
  <c r="G622" i="16"/>
  <c r="F625" i="16" s="1"/>
  <c r="F624" i="16"/>
  <c r="E627" i="16"/>
  <c r="K376" i="16" l="1"/>
  <c r="I379" i="16" s="1"/>
  <c r="F384" i="16"/>
  <c r="G388" i="16" s="1"/>
  <c r="B391" i="16" s="1"/>
  <c r="K399" i="16" s="1"/>
  <c r="I402" i="16" s="1"/>
  <c r="K158" i="16"/>
  <c r="I161" i="16" s="1"/>
  <c r="F166" i="16"/>
  <c r="G168" i="16" s="1"/>
  <c r="B170" i="16" s="1"/>
  <c r="E182" i="16" l="1"/>
  <c r="F179" i="16"/>
  <c r="G177" i="16"/>
  <c r="F180" i="16" s="1"/>
  <c r="F188" i="16"/>
  <c r="G193" i="16" s="1"/>
  <c r="B196" i="16" s="1"/>
  <c r="F212" i="16" l="1"/>
  <c r="G215" i="16" s="1"/>
  <c r="B217" i="16" s="1"/>
  <c r="K204" i="16"/>
  <c r="I207" i="16" s="1"/>
  <c r="F233" i="16" l="1"/>
  <c r="G237" i="16" s="1"/>
  <c r="B240" i="16" s="1"/>
  <c r="G224" i="16"/>
  <c r="F227" i="16" s="1"/>
  <c r="F226" i="16"/>
  <c r="E229" i="16"/>
  <c r="K248" i="16" l="1"/>
  <c r="I251" i="16" s="1"/>
  <c r="F255" i="16"/>
  <c r="G257" i="16" s="1"/>
  <c r="B259" i="16" s="1"/>
  <c r="E271" i="16" l="1"/>
  <c r="F268" i="16"/>
  <c r="G266" i="16"/>
  <c r="F269" i="16" s="1"/>
  <c r="F407" i="16"/>
  <c r="G411" i="16" s="1"/>
  <c r="B414" i="16" s="1"/>
  <c r="F430" i="16" l="1"/>
  <c r="G433" i="16" s="1"/>
  <c r="B435" i="16" s="1"/>
  <c r="K422" i="16"/>
  <c r="I425" i="16" s="1"/>
  <c r="F444" i="16" l="1"/>
  <c r="G442" i="16"/>
  <c r="F445" i="16" s="1"/>
  <c r="F452" i="16"/>
  <c r="G456" i="16" s="1"/>
  <c r="B459" i="16" s="1"/>
  <c r="E447" i="16"/>
  <c r="K467" i="16" l="1"/>
  <c r="I470" i="16" s="1"/>
  <c r="F543" i="16"/>
  <c r="G546" i="16" s="1"/>
  <c r="B548" i="16" s="1"/>
  <c r="F632" i="16" l="1"/>
  <c r="G635" i="16" s="1"/>
  <c r="B637" i="16" s="1"/>
  <c r="F557" i="16"/>
  <c r="G555" i="16"/>
  <c r="F558" i="16" s="1"/>
  <c r="E560" i="16"/>
  <c r="E649" i="16" l="1"/>
  <c r="F654" i="16"/>
  <c r="G656" i="16" s="1"/>
  <c r="B658" i="16" s="1"/>
  <c r="F646" i="16"/>
  <c r="G644" i="16"/>
  <c r="F647" i="16" s="1"/>
  <c r="B359" i="10"/>
  <c r="C427" i="3"/>
  <c r="B427" i="3"/>
  <c r="A427" i="3"/>
  <c r="B422" i="3"/>
  <c r="E427" i="3" s="1"/>
  <c r="B416" i="3"/>
  <c r="F416" i="3" s="1"/>
  <c r="G416" i="3" s="1"/>
  <c r="B415" i="3"/>
  <c r="F415" i="3" s="1"/>
  <c r="B422" i="11"/>
  <c r="B9" i="15"/>
  <c r="G5" i="15"/>
  <c r="B3" i="15"/>
  <c r="B14" i="15"/>
  <c r="A14" i="15"/>
  <c r="C579" i="3"/>
  <c r="B579" i="3"/>
  <c r="A579" i="3"/>
  <c r="B574" i="3"/>
  <c r="E579" i="3" s="1"/>
  <c r="F579" i="3" s="1"/>
  <c r="B558" i="3"/>
  <c r="A558" i="3"/>
  <c r="B553" i="3"/>
  <c r="C558" i="3" s="1"/>
  <c r="I539" i="3"/>
  <c r="G539" i="3"/>
  <c r="I541" i="3" s="1"/>
  <c r="D539" i="3"/>
  <c r="C539" i="3"/>
  <c r="E539" i="3" s="1"/>
  <c r="F539" i="3" s="1"/>
  <c r="B539" i="3"/>
  <c r="B526" i="3"/>
  <c r="F526" i="3" s="1"/>
  <c r="B525" i="3"/>
  <c r="F525" i="3" s="1"/>
  <c r="G525" i="3" s="1"/>
  <c r="G528" i="3" s="1"/>
  <c r="B531" i="3" s="1"/>
  <c r="B515" i="3"/>
  <c r="A515" i="3"/>
  <c r="C515" i="3" s="1"/>
  <c r="B510" i="3"/>
  <c r="D515" i="3" s="1"/>
  <c r="C494" i="3"/>
  <c r="B494" i="3"/>
  <c r="A494" i="3"/>
  <c r="B489" i="3"/>
  <c r="D494" i="3" s="1"/>
  <c r="B483" i="3"/>
  <c r="F483" i="3" s="1"/>
  <c r="G483" i="3" s="1"/>
  <c r="B472" i="3"/>
  <c r="A472" i="3"/>
  <c r="B467" i="3"/>
  <c r="C472" i="3" s="1"/>
  <c r="B461" i="3"/>
  <c r="F461" i="3" s="1"/>
  <c r="I452" i="3"/>
  <c r="G452" i="3"/>
  <c r="J452" i="3" s="1"/>
  <c r="D452" i="3"/>
  <c r="C452" i="3"/>
  <c r="B452" i="3"/>
  <c r="F439" i="3"/>
  <c r="B439" i="3"/>
  <c r="B438" i="3"/>
  <c r="F438" i="3" s="1"/>
  <c r="G438" i="3" s="1"/>
  <c r="C405" i="3"/>
  <c r="B405" i="3"/>
  <c r="A405" i="3"/>
  <c r="B400" i="3"/>
  <c r="E405" i="3" s="1"/>
  <c r="F405" i="3" s="1"/>
  <c r="B394" i="3"/>
  <c r="F394" i="3" s="1"/>
  <c r="C383" i="3"/>
  <c r="B383" i="3"/>
  <c r="A383" i="3"/>
  <c r="B378" i="3"/>
  <c r="E383" i="3" s="1"/>
  <c r="F383" i="3" s="1"/>
  <c r="B372" i="3"/>
  <c r="F372" i="3" s="1"/>
  <c r="B371" i="3"/>
  <c r="F371" i="3" s="1"/>
  <c r="B370" i="3"/>
  <c r="F370" i="3" s="1"/>
  <c r="C359" i="3"/>
  <c r="B359" i="3"/>
  <c r="A359" i="3"/>
  <c r="B354" i="3"/>
  <c r="E359" i="3" s="1"/>
  <c r="F359" i="3" s="1"/>
  <c r="I340" i="3"/>
  <c r="G340" i="3"/>
  <c r="D340" i="3"/>
  <c r="C340" i="3"/>
  <c r="B340" i="3"/>
  <c r="F326" i="3"/>
  <c r="B326" i="3"/>
  <c r="B325" i="3"/>
  <c r="F325" i="3" s="1"/>
  <c r="G329" i="3" s="1"/>
  <c r="B332" i="3" s="1"/>
  <c r="F348" i="3" s="1"/>
  <c r="G350" i="3" s="1"/>
  <c r="B352" i="3" s="1"/>
  <c r="I317" i="3"/>
  <c r="G317" i="3"/>
  <c r="I319" i="3" s="1"/>
  <c r="D317" i="3"/>
  <c r="C317" i="3"/>
  <c r="E317" i="3" s="1"/>
  <c r="F317" i="3" s="1"/>
  <c r="B317" i="3"/>
  <c r="B304" i="3"/>
  <c r="F304" i="3" s="1"/>
  <c r="G304" i="3" s="1"/>
  <c r="B303" i="3"/>
  <c r="F303" i="3" s="1"/>
  <c r="C292" i="3"/>
  <c r="B292" i="3"/>
  <c r="A292" i="3"/>
  <c r="B287" i="3"/>
  <c r="E292" i="3" s="1"/>
  <c r="F292" i="3" s="1"/>
  <c r="B281" i="3"/>
  <c r="F281" i="3" s="1"/>
  <c r="G281" i="3" s="1"/>
  <c r="I272" i="3"/>
  <c r="G272" i="3"/>
  <c r="I274" i="3" s="1"/>
  <c r="D272" i="3"/>
  <c r="C272" i="3"/>
  <c r="E272" i="3" s="1"/>
  <c r="B272" i="3"/>
  <c r="B259" i="3"/>
  <c r="F259" i="3" s="1"/>
  <c r="B258" i="3"/>
  <c r="F258" i="3" s="1"/>
  <c r="C248" i="3"/>
  <c r="B248" i="3"/>
  <c r="A248" i="3"/>
  <c r="B243" i="3"/>
  <c r="E248" i="3" s="1"/>
  <c r="F248" i="3" s="1"/>
  <c r="G239" i="3"/>
  <c r="B241" i="3" s="1"/>
  <c r="F237" i="3"/>
  <c r="B216" i="3"/>
  <c r="F216" i="3" s="1"/>
  <c r="B215" i="3"/>
  <c r="F215" i="3" s="1"/>
  <c r="B193" i="3"/>
  <c r="F568" i="11"/>
  <c r="B526" i="11"/>
  <c r="F526" i="11" s="1"/>
  <c r="F525" i="11"/>
  <c r="G525" i="11" s="1"/>
  <c r="B525" i="11"/>
  <c r="F482" i="11"/>
  <c r="B444" i="11"/>
  <c r="B439" i="11"/>
  <c r="F439" i="11" s="1"/>
  <c r="B438" i="11"/>
  <c r="F438" i="11" s="1"/>
  <c r="G438" i="11" s="1"/>
  <c r="B416" i="11"/>
  <c r="F416" i="11" s="1"/>
  <c r="G416" i="11" s="1"/>
  <c r="B415" i="11"/>
  <c r="F415" i="11" s="1"/>
  <c r="B394" i="11"/>
  <c r="F394" i="11" s="1"/>
  <c r="B372" i="11"/>
  <c r="F372" i="11" s="1"/>
  <c r="B371" i="11"/>
  <c r="F371" i="11" s="1"/>
  <c r="B370" i="11"/>
  <c r="F370" i="11" s="1"/>
  <c r="B259" i="11"/>
  <c r="F259" i="11" s="1"/>
  <c r="B258" i="11"/>
  <c r="F258" i="11" s="1"/>
  <c r="B248" i="11"/>
  <c r="A248" i="11"/>
  <c r="B243" i="11"/>
  <c r="I229" i="11"/>
  <c r="G229" i="11"/>
  <c r="D229" i="11"/>
  <c r="C229" i="11"/>
  <c r="B229" i="11"/>
  <c r="B216" i="11"/>
  <c r="F216" i="11" s="1"/>
  <c r="B215" i="11"/>
  <c r="F215" i="11" s="1"/>
  <c r="F163" i="14"/>
  <c r="B143" i="14"/>
  <c r="B193" i="11"/>
  <c r="B332" i="10"/>
  <c r="F225" i="1"/>
  <c r="F187" i="1"/>
  <c r="B187" i="1"/>
  <c r="F165" i="1"/>
  <c r="F121" i="1"/>
  <c r="I114" i="1"/>
  <c r="G114" i="1"/>
  <c r="I116" i="1" s="1"/>
  <c r="D114" i="1"/>
  <c r="C114" i="1"/>
  <c r="E114" i="1" s="1"/>
  <c r="F114" i="1" s="1"/>
  <c r="B114" i="1"/>
  <c r="B102" i="1"/>
  <c r="F102" i="1" s="1"/>
  <c r="G104" i="1" s="1"/>
  <c r="B106" i="1" s="1"/>
  <c r="K114" i="1" s="1"/>
  <c r="I117" i="1" s="1"/>
  <c r="I94" i="1"/>
  <c r="G94" i="1"/>
  <c r="I96" i="1" s="1"/>
  <c r="D94" i="1"/>
  <c r="C94" i="1"/>
  <c r="E94" i="1" s="1"/>
  <c r="F94" i="1" s="1"/>
  <c r="B94" i="1"/>
  <c r="B82" i="1"/>
  <c r="F82" i="1" s="1"/>
  <c r="G84" i="1" s="1"/>
  <c r="B86" i="1" s="1"/>
  <c r="B147" i="3"/>
  <c r="F667" i="16" l="1"/>
  <c r="G665" i="16"/>
  <c r="F668" i="16" s="1"/>
  <c r="B722" i="16"/>
  <c r="E670" i="16"/>
  <c r="F718" i="16"/>
  <c r="G720" i="16" s="1"/>
  <c r="G418" i="3"/>
  <c r="B420" i="3" s="1"/>
  <c r="F427" i="3"/>
  <c r="D427" i="3"/>
  <c r="J539" i="3"/>
  <c r="J317" i="3"/>
  <c r="J272" i="3"/>
  <c r="F272" i="3"/>
  <c r="J114" i="1"/>
  <c r="K94" i="1"/>
  <c r="I97" i="1" s="1"/>
  <c r="C14" i="15"/>
  <c r="E14" i="15"/>
  <c r="F14" i="15" s="1"/>
  <c r="F3" i="15"/>
  <c r="G3" i="15" s="1"/>
  <c r="D14" i="15"/>
  <c r="F369" i="3"/>
  <c r="G374" i="3" s="1"/>
  <c r="B376" i="3" s="1"/>
  <c r="G359" i="3"/>
  <c r="F362" i="3" s="1"/>
  <c r="F361" i="3"/>
  <c r="E364" i="3"/>
  <c r="E340" i="3"/>
  <c r="F340" i="3" s="1"/>
  <c r="K340" i="3"/>
  <c r="I343" i="3" s="1"/>
  <c r="F515" i="3"/>
  <c r="F494" i="3"/>
  <c r="K539" i="3"/>
  <c r="I542" i="3" s="1"/>
  <c r="F547" i="3"/>
  <c r="G549" i="3" s="1"/>
  <c r="B551" i="3" s="1"/>
  <c r="F250" i="3"/>
  <c r="F257" i="3"/>
  <c r="G261" i="3" s="1"/>
  <c r="B264" i="3" s="1"/>
  <c r="G248" i="3"/>
  <c r="F251" i="3" s="1"/>
  <c r="F558" i="3"/>
  <c r="E253" i="3"/>
  <c r="J340" i="3"/>
  <c r="I342" i="3"/>
  <c r="H340" i="3"/>
  <c r="E515" i="3"/>
  <c r="D558" i="3"/>
  <c r="H452" i="3"/>
  <c r="E558" i="3"/>
  <c r="D248" i="3"/>
  <c r="H272" i="3"/>
  <c r="D292" i="3"/>
  <c r="D359" i="3"/>
  <c r="D383" i="3"/>
  <c r="D405" i="3"/>
  <c r="E452" i="3"/>
  <c r="F452" i="3" s="1"/>
  <c r="E494" i="3"/>
  <c r="D579" i="3"/>
  <c r="D472" i="3"/>
  <c r="I454" i="3"/>
  <c r="E472" i="3"/>
  <c r="F472" i="3" s="1"/>
  <c r="H317" i="3"/>
  <c r="H539" i="3"/>
  <c r="I231" i="11"/>
  <c r="G418" i="11"/>
  <c r="E229" i="11"/>
  <c r="F229" i="11" s="1"/>
  <c r="E248" i="11"/>
  <c r="C248" i="11"/>
  <c r="D248" i="11"/>
  <c r="J229" i="11"/>
  <c r="H229" i="11"/>
  <c r="J94" i="1"/>
  <c r="H94" i="1"/>
  <c r="H114" i="1"/>
  <c r="B175" i="14"/>
  <c r="A175" i="14"/>
  <c r="B170" i="14"/>
  <c r="B164" i="14"/>
  <c r="F164" i="14" s="1"/>
  <c r="G164" i="14" s="1"/>
  <c r="I155" i="14"/>
  <c r="G155" i="14"/>
  <c r="D155" i="14"/>
  <c r="C155" i="14"/>
  <c r="B155" i="14"/>
  <c r="F143" i="14"/>
  <c r="B142" i="14"/>
  <c r="F142" i="14" s="1"/>
  <c r="G142" i="14" s="1"/>
  <c r="F141" i="14"/>
  <c r="B131" i="14"/>
  <c r="A131" i="14"/>
  <c r="B126" i="14"/>
  <c r="E131" i="14" s="1"/>
  <c r="F120" i="14"/>
  <c r="G120" i="14" s="1"/>
  <c r="B120" i="14"/>
  <c r="G111" i="14"/>
  <c r="J110" i="14" s="1"/>
  <c r="D111" i="14"/>
  <c r="C111" i="14"/>
  <c r="B111" i="14"/>
  <c r="I110" i="14"/>
  <c r="B99" i="14"/>
  <c r="F99" i="14" s="1"/>
  <c r="B98" i="14"/>
  <c r="F98" i="14" s="1"/>
  <c r="G98" i="14" s="1"/>
  <c r="B88" i="14"/>
  <c r="A88" i="14"/>
  <c r="B83" i="14"/>
  <c r="F77" i="14"/>
  <c r="B77" i="14"/>
  <c r="I69" i="14"/>
  <c r="G69" i="14"/>
  <c r="D69" i="14"/>
  <c r="C69" i="14"/>
  <c r="B69" i="14"/>
  <c r="B57" i="14"/>
  <c r="F57" i="14" s="1"/>
  <c r="G59" i="14" s="1"/>
  <c r="B61" i="14" s="1"/>
  <c r="I50" i="14"/>
  <c r="G50" i="14"/>
  <c r="D50" i="14"/>
  <c r="C50" i="14"/>
  <c r="B50" i="14"/>
  <c r="B38" i="14"/>
  <c r="F38" i="14" s="1"/>
  <c r="G40" i="14" s="1"/>
  <c r="B42" i="14" s="1"/>
  <c r="B31" i="14"/>
  <c r="F31" i="14" s="1"/>
  <c r="G31" i="14" s="1"/>
  <c r="B30" i="14"/>
  <c r="F30" i="14" s="1"/>
  <c r="G30" i="14" s="1"/>
  <c r="B29" i="14"/>
  <c r="F29" i="14" s="1"/>
  <c r="G29" i="14" s="1"/>
  <c r="B28" i="14"/>
  <c r="F28" i="14" s="1"/>
  <c r="G28" i="14" s="1"/>
  <c r="B27" i="14"/>
  <c r="F27" i="14" s="1"/>
  <c r="G27" i="14" s="1"/>
  <c r="B26" i="14"/>
  <c r="F26" i="14" s="1"/>
  <c r="G26" i="14" s="1"/>
  <c r="B25" i="14"/>
  <c r="F25" i="14" s="1"/>
  <c r="G25" i="14" s="1"/>
  <c r="B24" i="14"/>
  <c r="F24" i="14" s="1"/>
  <c r="G24" i="14" s="1"/>
  <c r="B23" i="14"/>
  <c r="F23" i="14" s="1"/>
  <c r="G23" i="14" s="1"/>
  <c r="B22" i="14"/>
  <c r="F22" i="14" s="1"/>
  <c r="G22" i="14" s="1"/>
  <c r="B21" i="14"/>
  <c r="F21" i="14" s="1"/>
  <c r="E734" i="16" l="1"/>
  <c r="F731" i="16"/>
  <c r="G729" i="16"/>
  <c r="F732" i="16" s="1"/>
  <c r="E432" i="3"/>
  <c r="F429" i="3"/>
  <c r="G427" i="3"/>
  <c r="F430" i="3" s="1"/>
  <c r="K272" i="3"/>
  <c r="I275" i="3" s="1"/>
  <c r="F280" i="3"/>
  <c r="G283" i="3" s="1"/>
  <c r="B285" i="3" s="1"/>
  <c r="G558" i="3"/>
  <c r="F561" i="3" s="1"/>
  <c r="E563" i="3"/>
  <c r="F560" i="3"/>
  <c r="F437" i="3"/>
  <c r="G441" i="3" s="1"/>
  <c r="B444" i="3" s="1"/>
  <c r="E388" i="3"/>
  <c r="F385" i="3"/>
  <c r="G383" i="3"/>
  <c r="F386" i="3" s="1"/>
  <c r="F248" i="11"/>
  <c r="I157" i="14"/>
  <c r="E50" i="14"/>
  <c r="F50" i="14" s="1"/>
  <c r="C88" i="14"/>
  <c r="I52" i="14"/>
  <c r="E88" i="14"/>
  <c r="E155" i="14"/>
  <c r="F155" i="14" s="1"/>
  <c r="G101" i="14"/>
  <c r="B103" i="14" s="1"/>
  <c r="F119" i="14" s="1"/>
  <c r="G122" i="14" s="1"/>
  <c r="B124" i="14" s="1"/>
  <c r="G145" i="14"/>
  <c r="B147" i="14" s="1"/>
  <c r="K155" i="14" s="1"/>
  <c r="I158" i="14" s="1"/>
  <c r="E175" i="14"/>
  <c r="I71" i="14"/>
  <c r="F32" i="14"/>
  <c r="G21" i="14"/>
  <c r="F76" i="14"/>
  <c r="G79" i="14" s="1"/>
  <c r="B81" i="14" s="1"/>
  <c r="K50" i="14"/>
  <c r="I53" i="14" s="1"/>
  <c r="E69" i="14"/>
  <c r="F69" i="14" s="1"/>
  <c r="E111" i="14"/>
  <c r="F111" i="14" s="1"/>
  <c r="H155" i="14"/>
  <c r="H50" i="14"/>
  <c r="J50" i="14"/>
  <c r="C131" i="14"/>
  <c r="F131" i="14" s="1"/>
  <c r="J155" i="14"/>
  <c r="H69" i="14"/>
  <c r="D88" i="14"/>
  <c r="I112" i="14"/>
  <c r="D131" i="14"/>
  <c r="C175" i="14"/>
  <c r="D175" i="14"/>
  <c r="H110" i="14"/>
  <c r="B309" i="10"/>
  <c r="F309" i="10" s="1"/>
  <c r="G309" i="10" s="1"/>
  <c r="F330" i="10"/>
  <c r="G344" i="10"/>
  <c r="D344" i="10"/>
  <c r="C344" i="10"/>
  <c r="B344" i="10"/>
  <c r="I344" i="10"/>
  <c r="F332" i="10"/>
  <c r="B331" i="10"/>
  <c r="F331" i="10" s="1"/>
  <c r="G331" i="10" s="1"/>
  <c r="B315" i="10"/>
  <c r="B287" i="10"/>
  <c r="F287" i="10" s="1"/>
  <c r="G287" i="10" s="1"/>
  <c r="B288" i="10"/>
  <c r="B266" i="10"/>
  <c r="B227" i="10"/>
  <c r="B88" i="10"/>
  <c r="B123" i="10"/>
  <c r="B103" i="10"/>
  <c r="F460" i="3" l="1"/>
  <c r="G463" i="3" s="1"/>
  <c r="B465" i="3" s="1"/>
  <c r="K452" i="3"/>
  <c r="I455" i="3" s="1"/>
  <c r="G292" i="3"/>
  <c r="F295" i="3" s="1"/>
  <c r="F294" i="3"/>
  <c r="F302" i="3"/>
  <c r="G306" i="3" s="1"/>
  <c r="B309" i="3" s="1"/>
  <c r="E297" i="3"/>
  <c r="F175" i="14"/>
  <c r="G334" i="10"/>
  <c r="B336" i="10" s="1"/>
  <c r="K344" i="10" s="1"/>
  <c r="I347" i="10" s="1"/>
  <c r="I346" i="10"/>
  <c r="K110" i="14"/>
  <c r="I113" i="14" s="1"/>
  <c r="F88" i="14"/>
  <c r="F90" i="14" s="1"/>
  <c r="G88" i="14"/>
  <c r="F91" i="14" s="1"/>
  <c r="F133" i="14"/>
  <c r="E136" i="14"/>
  <c r="G131" i="14"/>
  <c r="F134" i="14" s="1"/>
  <c r="E344" i="10"/>
  <c r="F344" i="10" s="1"/>
  <c r="H344" i="10"/>
  <c r="J344" i="10"/>
  <c r="B217" i="10"/>
  <c r="A217" i="10"/>
  <c r="B212" i="10"/>
  <c r="B196" i="10"/>
  <c r="A196" i="10"/>
  <c r="B191" i="10"/>
  <c r="B170" i="10"/>
  <c r="A175" i="10"/>
  <c r="B175" i="10"/>
  <c r="B579" i="11"/>
  <c r="A579" i="11"/>
  <c r="B574" i="11"/>
  <c r="B558" i="11"/>
  <c r="A558" i="11"/>
  <c r="B553" i="11"/>
  <c r="C558" i="11" s="1"/>
  <c r="I539" i="11"/>
  <c r="G539" i="11"/>
  <c r="J539" i="11" s="1"/>
  <c r="D539" i="11"/>
  <c r="C539" i="11"/>
  <c r="B539" i="11"/>
  <c r="B515" i="11"/>
  <c r="A515" i="11"/>
  <c r="B510" i="11"/>
  <c r="B494" i="11"/>
  <c r="A494" i="11"/>
  <c r="B489" i="11"/>
  <c r="B483" i="11"/>
  <c r="F483" i="11" s="1"/>
  <c r="G483" i="11" s="1"/>
  <c r="B472" i="11"/>
  <c r="A472" i="11"/>
  <c r="B467" i="11"/>
  <c r="C472" i="11" s="1"/>
  <c r="B461" i="11"/>
  <c r="F461" i="11" s="1"/>
  <c r="I452" i="11"/>
  <c r="G452" i="11"/>
  <c r="D452" i="11"/>
  <c r="C452" i="11"/>
  <c r="B452" i="11"/>
  <c r="B427" i="11"/>
  <c r="A427" i="11"/>
  <c r="B405" i="11"/>
  <c r="A405" i="11"/>
  <c r="B400" i="11"/>
  <c r="B383" i="11"/>
  <c r="A383" i="11"/>
  <c r="B378" i="11"/>
  <c r="B359" i="11"/>
  <c r="A359" i="11"/>
  <c r="B354" i="11"/>
  <c r="I340" i="11"/>
  <c r="G340" i="11"/>
  <c r="J340" i="11" s="1"/>
  <c r="D340" i="11"/>
  <c r="C340" i="11"/>
  <c r="B340" i="11"/>
  <c r="B326" i="11"/>
  <c r="F326" i="11" s="1"/>
  <c r="B325" i="11"/>
  <c r="F325" i="11" s="1"/>
  <c r="I317" i="11"/>
  <c r="G317" i="11"/>
  <c r="J317" i="11" s="1"/>
  <c r="D317" i="11"/>
  <c r="C317" i="11"/>
  <c r="B317" i="11"/>
  <c r="B304" i="11"/>
  <c r="F304" i="11" s="1"/>
  <c r="G304" i="11" s="1"/>
  <c r="B303" i="11"/>
  <c r="F303" i="11" s="1"/>
  <c r="B292" i="11"/>
  <c r="A292" i="11"/>
  <c r="B287" i="11"/>
  <c r="B281" i="11"/>
  <c r="F281" i="11" s="1"/>
  <c r="G281" i="11" s="1"/>
  <c r="I272" i="11"/>
  <c r="G272" i="11"/>
  <c r="D272" i="11"/>
  <c r="C272" i="11"/>
  <c r="B272" i="11"/>
  <c r="B204" i="11"/>
  <c r="A204" i="11"/>
  <c r="B199" i="11"/>
  <c r="F193" i="11"/>
  <c r="I184" i="11"/>
  <c r="G184" i="11"/>
  <c r="J184" i="11" s="1"/>
  <c r="D184" i="11"/>
  <c r="C184" i="11"/>
  <c r="B184" i="11"/>
  <c r="B170" i="11"/>
  <c r="F170" i="11" s="1"/>
  <c r="B169" i="11"/>
  <c r="F169" i="11" s="1"/>
  <c r="I161" i="11"/>
  <c r="G161" i="11"/>
  <c r="J161" i="11" s="1"/>
  <c r="D161" i="11"/>
  <c r="C161" i="11"/>
  <c r="B161" i="11"/>
  <c r="B147" i="11"/>
  <c r="F147" i="11" s="1"/>
  <c r="I138" i="11"/>
  <c r="G138" i="11"/>
  <c r="J138" i="11" s="1"/>
  <c r="D138" i="11"/>
  <c r="C138" i="11"/>
  <c r="B138" i="11"/>
  <c r="B124" i="11"/>
  <c r="F124" i="11" s="1"/>
  <c r="B113" i="11"/>
  <c r="A113" i="11"/>
  <c r="B108" i="11"/>
  <c r="I94" i="11"/>
  <c r="G94" i="11"/>
  <c r="J94" i="11" s="1"/>
  <c r="D94" i="11"/>
  <c r="C94" i="11"/>
  <c r="B94" i="11"/>
  <c r="B80" i="11"/>
  <c r="F80" i="11" s="1"/>
  <c r="I71" i="11"/>
  <c r="G71" i="11"/>
  <c r="J71" i="11" s="1"/>
  <c r="D71" i="11"/>
  <c r="C71" i="11"/>
  <c r="B71" i="11"/>
  <c r="B59" i="11"/>
  <c r="F59" i="11" s="1"/>
  <c r="I50" i="11"/>
  <c r="G50" i="11"/>
  <c r="D50" i="11"/>
  <c r="C50" i="11"/>
  <c r="B50" i="11"/>
  <c r="B38" i="11"/>
  <c r="F38" i="11" s="1"/>
  <c r="B37" i="11"/>
  <c r="F37" i="11" s="1"/>
  <c r="B31" i="11"/>
  <c r="F31" i="11" s="1"/>
  <c r="G31" i="11" s="1"/>
  <c r="B30" i="11"/>
  <c r="F30" i="11" s="1"/>
  <c r="G30" i="11" s="1"/>
  <c r="B29" i="11"/>
  <c r="F29" i="11" s="1"/>
  <c r="G29" i="11" s="1"/>
  <c r="B28" i="11"/>
  <c r="F28" i="11" s="1"/>
  <c r="G28" i="11" s="1"/>
  <c r="B27" i="11"/>
  <c r="F27" i="11" s="1"/>
  <c r="G27" i="11" s="1"/>
  <c r="B26" i="11"/>
  <c r="F26" i="11" s="1"/>
  <c r="G26" i="11" s="1"/>
  <c r="B25" i="11"/>
  <c r="F25" i="11" s="1"/>
  <c r="G25" i="11" s="1"/>
  <c r="B24" i="11"/>
  <c r="F24" i="11" s="1"/>
  <c r="G24" i="11" s="1"/>
  <c r="B23" i="11"/>
  <c r="F23" i="11" s="1"/>
  <c r="G23" i="11" s="1"/>
  <c r="B22" i="11"/>
  <c r="F22" i="11" s="1"/>
  <c r="G22" i="11" s="1"/>
  <c r="B21" i="11"/>
  <c r="F21" i="11" s="1"/>
  <c r="G21" i="11" s="1"/>
  <c r="B364" i="10"/>
  <c r="A364" i="10"/>
  <c r="B353" i="10"/>
  <c r="F353" i="10" s="1"/>
  <c r="G353" i="10" s="1"/>
  <c r="B320" i="10"/>
  <c r="A320" i="10"/>
  <c r="I300" i="10"/>
  <c r="G300" i="10"/>
  <c r="D300" i="10"/>
  <c r="C300" i="10"/>
  <c r="B300" i="10"/>
  <c r="F288" i="10"/>
  <c r="G290" i="10" s="1"/>
  <c r="B277" i="10"/>
  <c r="A277" i="10"/>
  <c r="B272" i="10"/>
  <c r="F266" i="10"/>
  <c r="I258" i="10"/>
  <c r="G258" i="10"/>
  <c r="D258" i="10"/>
  <c r="C258" i="10"/>
  <c r="B258" i="10"/>
  <c r="B246" i="10"/>
  <c r="F246" i="10" s="1"/>
  <c r="G248" i="10" s="1"/>
  <c r="B250" i="10" s="1"/>
  <c r="I239" i="10"/>
  <c r="G239" i="10"/>
  <c r="J239" i="10" s="1"/>
  <c r="D239" i="10"/>
  <c r="C239" i="10"/>
  <c r="B239" i="10"/>
  <c r="F227" i="10"/>
  <c r="G229" i="10" s="1"/>
  <c r="B93" i="10"/>
  <c r="A93" i="10"/>
  <c r="I157" i="10"/>
  <c r="G157" i="10"/>
  <c r="J157" i="10" s="1"/>
  <c r="D157" i="10"/>
  <c r="C157" i="10"/>
  <c r="B157" i="10"/>
  <c r="B145" i="10"/>
  <c r="F145" i="10" s="1"/>
  <c r="B144" i="10"/>
  <c r="F144" i="10" s="1"/>
  <c r="B143" i="10"/>
  <c r="F143" i="10" s="1"/>
  <c r="I135" i="10"/>
  <c r="G135" i="10"/>
  <c r="J135" i="10" s="1"/>
  <c r="D135" i="10"/>
  <c r="C135" i="10"/>
  <c r="B135" i="10"/>
  <c r="F123" i="10"/>
  <c r="G125" i="10" s="1"/>
  <c r="B127" i="10" s="1"/>
  <c r="I115" i="10"/>
  <c r="G115" i="10"/>
  <c r="D115" i="10"/>
  <c r="C115" i="10"/>
  <c r="B115" i="10"/>
  <c r="F103" i="10"/>
  <c r="G105" i="10" s="1"/>
  <c r="B107" i="10" s="1"/>
  <c r="I74" i="10"/>
  <c r="G74" i="10"/>
  <c r="H74" i="10" s="1"/>
  <c r="D74" i="10"/>
  <c r="C74" i="10"/>
  <c r="B74" i="10"/>
  <c r="B62" i="10"/>
  <c r="F62" i="10" s="1"/>
  <c r="B61" i="10"/>
  <c r="F61" i="10" s="1"/>
  <c r="B60" i="10"/>
  <c r="F60" i="10" s="1"/>
  <c r="I51" i="10"/>
  <c r="G51" i="10"/>
  <c r="D51" i="10"/>
  <c r="C51" i="10"/>
  <c r="B51" i="10"/>
  <c r="B39" i="10"/>
  <c r="F39" i="10" s="1"/>
  <c r="B38" i="10"/>
  <c r="F38" i="10" s="1"/>
  <c r="B37" i="10"/>
  <c r="F37" i="10" s="1"/>
  <c r="B31" i="10"/>
  <c r="F31" i="10" s="1"/>
  <c r="G31" i="10" s="1"/>
  <c r="B30" i="10"/>
  <c r="F30" i="10" s="1"/>
  <c r="G30" i="10" s="1"/>
  <c r="B29" i="10"/>
  <c r="F29" i="10" s="1"/>
  <c r="G29" i="10" s="1"/>
  <c r="B28" i="10"/>
  <c r="F28" i="10" s="1"/>
  <c r="G28" i="10" s="1"/>
  <c r="B27" i="10"/>
  <c r="F27" i="10" s="1"/>
  <c r="G27" i="10" s="1"/>
  <c r="B26" i="10"/>
  <c r="F26" i="10" s="1"/>
  <c r="G26" i="10" s="1"/>
  <c r="B25" i="10"/>
  <c r="F25" i="10" s="1"/>
  <c r="G25" i="10" s="1"/>
  <c r="B24" i="10"/>
  <c r="F24" i="10" s="1"/>
  <c r="G24" i="10" s="1"/>
  <c r="B23" i="10"/>
  <c r="F23" i="10" s="1"/>
  <c r="G23" i="10" s="1"/>
  <c r="B22" i="10"/>
  <c r="F22" i="10" s="1"/>
  <c r="G22" i="10" s="1"/>
  <c r="B21" i="10"/>
  <c r="F21" i="10" s="1"/>
  <c r="G21" i="10" s="1"/>
  <c r="F193" i="3"/>
  <c r="B170" i="3"/>
  <c r="F170" i="3" s="1"/>
  <c r="B169" i="3"/>
  <c r="F169" i="3" s="1"/>
  <c r="F147" i="3"/>
  <c r="B80" i="3"/>
  <c r="B59" i="3"/>
  <c r="B38" i="3"/>
  <c r="B299" i="1"/>
  <c r="B249" i="1"/>
  <c r="B226" i="1"/>
  <c r="F226" i="1" s="1"/>
  <c r="B206" i="1"/>
  <c r="F206" i="1" s="1"/>
  <c r="G208" i="1" s="1"/>
  <c r="B210" i="1" s="1"/>
  <c r="B218" i="1"/>
  <c r="C218" i="1"/>
  <c r="D218" i="1"/>
  <c r="G218" i="1"/>
  <c r="I218" i="1"/>
  <c r="B171" i="1"/>
  <c r="B124" i="1"/>
  <c r="F124" i="1" s="1"/>
  <c r="B176" i="1"/>
  <c r="A176" i="1"/>
  <c r="B150" i="1"/>
  <c r="B155" i="1"/>
  <c r="A155" i="1"/>
  <c r="B123" i="1"/>
  <c r="F123" i="1" s="1"/>
  <c r="B122" i="1"/>
  <c r="F122" i="1" s="1"/>
  <c r="I136" i="1"/>
  <c r="G136" i="1"/>
  <c r="J136" i="1" s="1"/>
  <c r="D136" i="1"/>
  <c r="C136" i="1"/>
  <c r="B136" i="1"/>
  <c r="B199" i="3"/>
  <c r="I229" i="3"/>
  <c r="G229" i="3"/>
  <c r="J229" i="3" s="1"/>
  <c r="D229" i="3"/>
  <c r="C229" i="3"/>
  <c r="B229" i="3"/>
  <c r="B204" i="3"/>
  <c r="A204" i="3"/>
  <c r="I184" i="3"/>
  <c r="G184" i="3"/>
  <c r="J184" i="3" s="1"/>
  <c r="D184" i="3"/>
  <c r="C184" i="3"/>
  <c r="B184" i="3"/>
  <c r="B108" i="3"/>
  <c r="I161" i="3"/>
  <c r="G161" i="3"/>
  <c r="J161" i="3" s="1"/>
  <c r="D161" i="3"/>
  <c r="C161" i="3"/>
  <c r="B161" i="3"/>
  <c r="B276" i="1"/>
  <c r="B232" i="1"/>
  <c r="B124" i="3"/>
  <c r="I541" i="11" l="1"/>
  <c r="K317" i="3"/>
  <c r="I320" i="3" s="1"/>
  <c r="F393" i="3"/>
  <c r="G396" i="3" s="1"/>
  <c r="B398" i="3" s="1"/>
  <c r="G472" i="3"/>
  <c r="F475" i="3" s="1"/>
  <c r="F474" i="3"/>
  <c r="E477" i="3"/>
  <c r="D579" i="11"/>
  <c r="I163" i="11"/>
  <c r="E71" i="11"/>
  <c r="F71" i="11" s="1"/>
  <c r="E138" i="11"/>
  <c r="F138" i="11" s="1"/>
  <c r="G329" i="11"/>
  <c r="B332" i="11" s="1"/>
  <c r="K340" i="11" s="1"/>
  <c r="I343" i="11" s="1"/>
  <c r="C113" i="11"/>
  <c r="E184" i="11"/>
  <c r="F184" i="11" s="1"/>
  <c r="E383" i="11"/>
  <c r="C359" i="11"/>
  <c r="H340" i="11"/>
  <c r="D405" i="11"/>
  <c r="I454" i="11"/>
  <c r="D472" i="11"/>
  <c r="E113" i="11"/>
  <c r="E317" i="11"/>
  <c r="F317" i="11" s="1"/>
  <c r="E579" i="11"/>
  <c r="G173" i="11"/>
  <c r="B176" i="11" s="1"/>
  <c r="K184" i="11" s="1"/>
  <c r="I187" i="11" s="1"/>
  <c r="C494" i="11"/>
  <c r="C204" i="11"/>
  <c r="E452" i="11"/>
  <c r="F452" i="11" s="1"/>
  <c r="G40" i="11"/>
  <c r="B42" i="11" s="1"/>
  <c r="K50" i="11" s="1"/>
  <c r="I53" i="11" s="1"/>
  <c r="C292" i="11"/>
  <c r="E494" i="11"/>
  <c r="H71" i="11"/>
  <c r="H138" i="11"/>
  <c r="H161" i="11"/>
  <c r="I319" i="11"/>
  <c r="I342" i="11"/>
  <c r="J452" i="11"/>
  <c r="E472" i="11"/>
  <c r="F472" i="11" s="1"/>
  <c r="D558" i="11"/>
  <c r="G528" i="11"/>
  <c r="B531" i="11" s="1"/>
  <c r="F547" i="11" s="1"/>
  <c r="G549" i="11" s="1"/>
  <c r="B551" i="11" s="1"/>
  <c r="I73" i="11"/>
  <c r="D113" i="11"/>
  <c r="I140" i="11"/>
  <c r="I186" i="11"/>
  <c r="D204" i="11"/>
  <c r="D359" i="11"/>
  <c r="E405" i="11"/>
  <c r="E427" i="11"/>
  <c r="H539" i="11"/>
  <c r="D292" i="11"/>
  <c r="E93" i="14"/>
  <c r="H94" i="11"/>
  <c r="I96" i="11"/>
  <c r="E217" i="10"/>
  <c r="I53" i="10"/>
  <c r="D175" i="10"/>
  <c r="C217" i="10"/>
  <c r="D217" i="10"/>
  <c r="D196" i="10"/>
  <c r="E196" i="10"/>
  <c r="I117" i="10"/>
  <c r="E157" i="10"/>
  <c r="F157" i="10" s="1"/>
  <c r="D364" i="10"/>
  <c r="C196" i="10"/>
  <c r="E175" i="10"/>
  <c r="C175" i="10"/>
  <c r="E74" i="10"/>
  <c r="F74" i="10" s="1"/>
  <c r="J74" i="10"/>
  <c r="E93" i="10"/>
  <c r="D277" i="10"/>
  <c r="K135" i="10"/>
  <c r="I138" i="10" s="1"/>
  <c r="J115" i="10"/>
  <c r="C320" i="10"/>
  <c r="H115" i="10"/>
  <c r="E115" i="10"/>
  <c r="F115" i="10" s="1"/>
  <c r="E135" i="10"/>
  <c r="F135" i="10" s="1"/>
  <c r="G41" i="10"/>
  <c r="B43" i="10" s="1"/>
  <c r="F59" i="10" s="1"/>
  <c r="G64" i="10" s="1"/>
  <c r="B66" i="10" s="1"/>
  <c r="F82" i="10" s="1"/>
  <c r="H135" i="10"/>
  <c r="I76" i="10"/>
  <c r="E239" i="10"/>
  <c r="F239" i="10" s="1"/>
  <c r="I260" i="10"/>
  <c r="I137" i="10"/>
  <c r="H258" i="10"/>
  <c r="D320" i="10"/>
  <c r="K115" i="10"/>
  <c r="I118" i="10" s="1"/>
  <c r="K539" i="11"/>
  <c r="I542" i="11" s="1"/>
  <c r="F32" i="10"/>
  <c r="I241" i="10"/>
  <c r="E300" i="10"/>
  <c r="F300" i="10" s="1"/>
  <c r="F32" i="11"/>
  <c r="I52" i="11"/>
  <c r="H50" i="11"/>
  <c r="J50" i="11"/>
  <c r="I274" i="11"/>
  <c r="H272" i="11"/>
  <c r="J272" i="11"/>
  <c r="E515" i="11"/>
  <c r="C515" i="11"/>
  <c r="E51" i="10"/>
  <c r="F51" i="10" s="1"/>
  <c r="J51" i="10"/>
  <c r="H157" i="10"/>
  <c r="I159" i="10"/>
  <c r="C93" i="10"/>
  <c r="H239" i="10"/>
  <c r="E258" i="10"/>
  <c r="F258" i="10" s="1"/>
  <c r="E364" i="10"/>
  <c r="C364" i="10"/>
  <c r="E94" i="11"/>
  <c r="F94" i="11" s="1"/>
  <c r="E161" i="11"/>
  <c r="F161" i="11" s="1"/>
  <c r="D427" i="11"/>
  <c r="D93" i="10"/>
  <c r="I302" i="10"/>
  <c r="H300" i="10"/>
  <c r="J300" i="10"/>
  <c r="F58" i="11"/>
  <c r="G61" i="11" s="1"/>
  <c r="B63" i="11" s="1"/>
  <c r="F79" i="11" s="1"/>
  <c r="E50" i="11"/>
  <c r="F50" i="11" s="1"/>
  <c r="E272" i="11"/>
  <c r="F272" i="11" s="1"/>
  <c r="H51" i="10"/>
  <c r="E277" i="10"/>
  <c r="C277" i="10"/>
  <c r="E340" i="11"/>
  <c r="F340" i="11" s="1"/>
  <c r="D383" i="11"/>
  <c r="D515" i="11"/>
  <c r="E539" i="11"/>
  <c r="F539" i="11" s="1"/>
  <c r="E320" i="10"/>
  <c r="H184" i="11"/>
  <c r="E204" i="11"/>
  <c r="F204" i="11" s="1"/>
  <c r="E292" i="11"/>
  <c r="H317" i="11"/>
  <c r="E359" i="11"/>
  <c r="F359" i="11" s="1"/>
  <c r="C383" i="11"/>
  <c r="C405" i="11"/>
  <c r="C427" i="11"/>
  <c r="F427" i="11" s="1"/>
  <c r="H452" i="11"/>
  <c r="D494" i="11"/>
  <c r="E558" i="11"/>
  <c r="F558" i="11" s="1"/>
  <c r="C579" i="11"/>
  <c r="I231" i="3"/>
  <c r="I163" i="3"/>
  <c r="I186" i="3"/>
  <c r="E218" i="1"/>
  <c r="F218" i="1" s="1"/>
  <c r="I220" i="1"/>
  <c r="H218" i="1"/>
  <c r="E176" i="1"/>
  <c r="I138" i="1"/>
  <c r="C176" i="1"/>
  <c r="D176" i="1"/>
  <c r="E155" i="1"/>
  <c r="C155" i="1"/>
  <c r="D155" i="1"/>
  <c r="E136" i="1"/>
  <c r="F136" i="1" s="1"/>
  <c r="H136" i="1"/>
  <c r="E204" i="3"/>
  <c r="E229" i="3"/>
  <c r="F229" i="3" s="1"/>
  <c r="H229" i="3"/>
  <c r="D204" i="3"/>
  <c r="C204" i="3"/>
  <c r="F204" i="3" s="1"/>
  <c r="G173" i="3"/>
  <c r="B176" i="3" s="1"/>
  <c r="K184" i="3" s="1"/>
  <c r="I187" i="3" s="1"/>
  <c r="H184" i="3"/>
  <c r="E184" i="3"/>
  <c r="F184" i="3" s="1"/>
  <c r="H161" i="3"/>
  <c r="E161" i="3"/>
  <c r="F161" i="3" s="1"/>
  <c r="F124" i="3"/>
  <c r="I138" i="3"/>
  <c r="G138" i="3"/>
  <c r="D138" i="3"/>
  <c r="C138" i="3"/>
  <c r="B138" i="3"/>
  <c r="F80" i="3"/>
  <c r="F38" i="3"/>
  <c r="F59" i="3"/>
  <c r="B37" i="3"/>
  <c r="F37" i="3" s="1"/>
  <c r="B113" i="3"/>
  <c r="A113" i="3"/>
  <c r="I94" i="3"/>
  <c r="G94" i="3"/>
  <c r="D94" i="3"/>
  <c r="C94" i="3"/>
  <c r="B94" i="3"/>
  <c r="I71" i="3"/>
  <c r="G71" i="3"/>
  <c r="D71" i="3"/>
  <c r="C71" i="3"/>
  <c r="B71" i="3"/>
  <c r="I50" i="3"/>
  <c r="G50" i="3"/>
  <c r="D50" i="3"/>
  <c r="C50" i="3"/>
  <c r="B50" i="3"/>
  <c r="B31" i="3"/>
  <c r="F31" i="3" s="1"/>
  <c r="G31" i="3" s="1"/>
  <c r="B30" i="3"/>
  <c r="F30" i="3" s="1"/>
  <c r="G30" i="3" s="1"/>
  <c r="B29" i="3"/>
  <c r="F29" i="3" s="1"/>
  <c r="G29" i="3" s="1"/>
  <c r="B28" i="3"/>
  <c r="F28" i="3" s="1"/>
  <c r="G28" i="3" s="1"/>
  <c r="B27" i="3"/>
  <c r="F27" i="3" s="1"/>
  <c r="G27" i="3" s="1"/>
  <c r="B26" i="3"/>
  <c r="F26" i="3" s="1"/>
  <c r="G26" i="3" s="1"/>
  <c r="B25" i="3"/>
  <c r="F25" i="3" s="1"/>
  <c r="G25" i="3" s="1"/>
  <c r="B24" i="3"/>
  <c r="F24" i="3" s="1"/>
  <c r="G24" i="3" s="1"/>
  <c r="B23" i="3"/>
  <c r="F23" i="3" s="1"/>
  <c r="G23" i="3" s="1"/>
  <c r="B22" i="3"/>
  <c r="F22" i="3" s="1"/>
  <c r="G22" i="3" s="1"/>
  <c r="B21" i="3"/>
  <c r="F21" i="3" s="1"/>
  <c r="B60" i="1"/>
  <c r="B37" i="1"/>
  <c r="B31" i="1"/>
  <c r="B30" i="1"/>
  <c r="B29" i="1"/>
  <c r="B28" i="1"/>
  <c r="B27" i="1"/>
  <c r="B293" i="1"/>
  <c r="F293" i="1" s="1"/>
  <c r="F249" i="1"/>
  <c r="B304" i="1"/>
  <c r="A304" i="1"/>
  <c r="B292" i="1"/>
  <c r="F292" i="1" s="1"/>
  <c r="G292" i="1" s="1"/>
  <c r="B270" i="1"/>
  <c r="F270" i="1" s="1"/>
  <c r="G270" i="1" s="1"/>
  <c r="B281" i="1"/>
  <c r="A281" i="1"/>
  <c r="B248" i="1"/>
  <c r="F248" i="1" s="1"/>
  <c r="G248" i="1" s="1"/>
  <c r="I261" i="1"/>
  <c r="G261" i="1"/>
  <c r="J261" i="1" s="1"/>
  <c r="D261" i="1"/>
  <c r="C261" i="1"/>
  <c r="B261" i="1"/>
  <c r="B237" i="1"/>
  <c r="A237" i="1"/>
  <c r="I199" i="1"/>
  <c r="G199" i="1"/>
  <c r="D199" i="1"/>
  <c r="C199" i="1"/>
  <c r="B199" i="1"/>
  <c r="B62" i="1"/>
  <c r="B61" i="1"/>
  <c r="B39" i="1"/>
  <c r="B38" i="1"/>
  <c r="F482" i="3" l="1"/>
  <c r="G485" i="3" s="1"/>
  <c r="B487" i="3" s="1"/>
  <c r="E410" i="3"/>
  <c r="F407" i="3"/>
  <c r="G405" i="3"/>
  <c r="F408" i="3" s="1"/>
  <c r="F383" i="11"/>
  <c r="F348" i="11"/>
  <c r="G350" i="11" s="1"/>
  <c r="B352" i="11" s="1"/>
  <c r="F113" i="11"/>
  <c r="F192" i="11"/>
  <c r="G195" i="11" s="1"/>
  <c r="B197" i="11" s="1"/>
  <c r="E209" i="11" s="1"/>
  <c r="F494" i="11"/>
  <c r="F579" i="11"/>
  <c r="F292" i="11"/>
  <c r="F405" i="11"/>
  <c r="F217" i="10"/>
  <c r="F196" i="10"/>
  <c r="F175" i="10"/>
  <c r="K51" i="10"/>
  <c r="I54" i="10" s="1"/>
  <c r="F93" i="10"/>
  <c r="F320" i="10"/>
  <c r="F364" i="10"/>
  <c r="K74" i="10"/>
  <c r="I77" i="10" s="1"/>
  <c r="K452" i="11"/>
  <c r="I455" i="11" s="1"/>
  <c r="F460" i="11"/>
  <c r="G463" i="11" s="1"/>
  <c r="B465" i="11" s="1"/>
  <c r="F277" i="10"/>
  <c r="K71" i="11"/>
  <c r="I74" i="11" s="1"/>
  <c r="F64" i="11"/>
  <c r="G83" i="11"/>
  <c r="B86" i="11" s="1"/>
  <c r="F206" i="11"/>
  <c r="F515" i="11"/>
  <c r="F560" i="11"/>
  <c r="G558" i="11"/>
  <c r="F561" i="11" s="1"/>
  <c r="E563" i="11"/>
  <c r="G84" i="10"/>
  <c r="B86" i="10" s="1"/>
  <c r="F361" i="11"/>
  <c r="E364" i="11"/>
  <c r="F369" i="11"/>
  <c r="G374" i="11" s="1"/>
  <c r="B376" i="11" s="1"/>
  <c r="G359" i="11"/>
  <c r="F362" i="11" s="1"/>
  <c r="I96" i="3"/>
  <c r="J138" i="3"/>
  <c r="I140" i="3"/>
  <c r="H50" i="3"/>
  <c r="J50" i="3"/>
  <c r="H71" i="3"/>
  <c r="I73" i="3"/>
  <c r="J71" i="3"/>
  <c r="H94" i="3"/>
  <c r="J94" i="3"/>
  <c r="H199" i="1"/>
  <c r="J199" i="1"/>
  <c r="F192" i="3"/>
  <c r="G195" i="3" s="1"/>
  <c r="B197" i="3" s="1"/>
  <c r="F214" i="3" s="1"/>
  <c r="G126" i="1"/>
  <c r="B128" i="1" s="1"/>
  <c r="F176" i="1"/>
  <c r="F155" i="1"/>
  <c r="G40" i="3"/>
  <c r="H138" i="3"/>
  <c r="E138" i="3"/>
  <c r="F138" i="3" s="1"/>
  <c r="E50" i="3"/>
  <c r="F50" i="3" s="1"/>
  <c r="E94" i="3"/>
  <c r="F94" i="3" s="1"/>
  <c r="E71" i="3"/>
  <c r="F71" i="3" s="1"/>
  <c r="C113" i="3"/>
  <c r="I52" i="3"/>
  <c r="G21" i="3"/>
  <c r="F32" i="3"/>
  <c r="D113" i="3"/>
  <c r="E113" i="3"/>
  <c r="C237" i="1"/>
  <c r="C304" i="1"/>
  <c r="D304" i="1"/>
  <c r="E304" i="1"/>
  <c r="C281" i="1"/>
  <c r="E281" i="1"/>
  <c r="D281" i="1"/>
  <c r="I263" i="1"/>
  <c r="H261" i="1"/>
  <c r="E261" i="1"/>
  <c r="F261" i="1" s="1"/>
  <c r="E237" i="1"/>
  <c r="D237" i="1"/>
  <c r="I201" i="1"/>
  <c r="E199" i="1"/>
  <c r="F199" i="1" s="1"/>
  <c r="F62" i="1"/>
  <c r="F61" i="1"/>
  <c r="F60" i="1"/>
  <c r="F37" i="1"/>
  <c r="F27" i="1"/>
  <c r="G27" i="1" s="1"/>
  <c r="F28" i="1"/>
  <c r="G28" i="1" s="1"/>
  <c r="F29" i="1"/>
  <c r="G29" i="1" s="1"/>
  <c r="F30" i="1"/>
  <c r="G30" i="1" s="1"/>
  <c r="B26" i="1"/>
  <c r="F26" i="1" s="1"/>
  <c r="G26" i="1" s="1"/>
  <c r="B25" i="1"/>
  <c r="F25" i="1" s="1"/>
  <c r="G25" i="1" s="1"/>
  <c r="B24" i="1"/>
  <c r="F24" i="1" s="1"/>
  <c r="G24" i="1" s="1"/>
  <c r="B23" i="1"/>
  <c r="F23" i="1" s="1"/>
  <c r="G23" i="1" s="1"/>
  <c r="B22" i="1"/>
  <c r="F22" i="1" s="1"/>
  <c r="B21" i="1"/>
  <c r="F21" i="1" s="1"/>
  <c r="G51" i="1"/>
  <c r="F39" i="1"/>
  <c r="I74" i="1"/>
  <c r="G74" i="1"/>
  <c r="D74" i="1"/>
  <c r="C74" i="1"/>
  <c r="B74" i="1"/>
  <c r="I51" i="1"/>
  <c r="D51" i="1"/>
  <c r="C51" i="1"/>
  <c r="B51" i="1"/>
  <c r="F38" i="1"/>
  <c r="F31" i="1"/>
  <c r="G31" i="1" s="1"/>
  <c r="G147" i="10" l="1"/>
  <c r="B149" i="10" s="1"/>
  <c r="F164" i="10" s="1"/>
  <c r="G166" i="10" s="1"/>
  <c r="B168" i="10" s="1"/>
  <c r="F142" i="10"/>
  <c r="E499" i="3"/>
  <c r="F496" i="3"/>
  <c r="F504" i="3"/>
  <c r="G506" i="3" s="1"/>
  <c r="B508" i="3" s="1"/>
  <c r="G494" i="3"/>
  <c r="F497" i="3" s="1"/>
  <c r="G204" i="11"/>
  <c r="F207" i="11" s="1"/>
  <c r="F214" i="11"/>
  <c r="G218" i="11" s="1"/>
  <c r="B221" i="11" s="1"/>
  <c r="K94" i="11"/>
  <c r="I97" i="11" s="1"/>
  <c r="F102" i="11"/>
  <c r="G104" i="11" s="1"/>
  <c r="B106" i="11" s="1"/>
  <c r="F474" i="11"/>
  <c r="E477" i="11"/>
  <c r="G472" i="11"/>
  <c r="F475" i="11" s="1"/>
  <c r="E388" i="11"/>
  <c r="F385" i="11"/>
  <c r="G383" i="11"/>
  <c r="F386" i="11" s="1"/>
  <c r="F95" i="10"/>
  <c r="G93" i="10"/>
  <c r="F96" i="10" s="1"/>
  <c r="E98" i="10"/>
  <c r="F113" i="3"/>
  <c r="G204" i="3"/>
  <c r="F207" i="3" s="1"/>
  <c r="E209" i="3"/>
  <c r="F206" i="3"/>
  <c r="H74" i="1"/>
  <c r="J74" i="1"/>
  <c r="H51" i="1"/>
  <c r="J51" i="1"/>
  <c r="F144" i="1"/>
  <c r="G146" i="1" s="1"/>
  <c r="B148" i="1" s="1"/>
  <c r="F157" i="1" s="1"/>
  <c r="K136" i="1"/>
  <c r="I139" i="1" s="1"/>
  <c r="F237" i="1"/>
  <c r="F304" i="1"/>
  <c r="F281" i="1"/>
  <c r="G22" i="1"/>
  <c r="F32" i="1"/>
  <c r="G41" i="1"/>
  <c r="B43" i="1" s="1"/>
  <c r="K51" i="1" s="1"/>
  <c r="I54" i="1" s="1"/>
  <c r="I76" i="1"/>
  <c r="I53" i="1"/>
  <c r="E74" i="1"/>
  <c r="F74" i="1" s="1"/>
  <c r="E51" i="1"/>
  <c r="G21" i="1"/>
  <c r="K157" i="10" l="1"/>
  <c r="I160" i="10" s="1"/>
  <c r="F517" i="3"/>
  <c r="G515" i="3"/>
  <c r="F518" i="3" s="1"/>
  <c r="E520" i="3"/>
  <c r="F568" i="3"/>
  <c r="G570" i="3" s="1"/>
  <c r="B572" i="3" s="1"/>
  <c r="E584" i="3" s="1"/>
  <c r="K229" i="11"/>
  <c r="I232" i="11" s="1"/>
  <c r="F237" i="11"/>
  <c r="G239" i="11" s="1"/>
  <c r="B241" i="11" s="1"/>
  <c r="F123" i="11"/>
  <c r="G127" i="11" s="1"/>
  <c r="B130" i="11" s="1"/>
  <c r="G175" i="10"/>
  <c r="F178" i="10" s="1"/>
  <c r="F185" i="10"/>
  <c r="G187" i="10" s="1"/>
  <c r="B189" i="10" s="1"/>
  <c r="F206" i="10" s="1"/>
  <c r="G208" i="10" s="1"/>
  <c r="B210" i="10" s="1"/>
  <c r="F352" i="10" s="1"/>
  <c r="E180" i="10"/>
  <c r="B231" i="10"/>
  <c r="F177" i="10"/>
  <c r="F115" i="11"/>
  <c r="E118" i="11"/>
  <c r="G113" i="11"/>
  <c r="F116" i="11" s="1"/>
  <c r="E160" i="1"/>
  <c r="G155" i="1"/>
  <c r="F158" i="1" s="1"/>
  <c r="F51" i="1"/>
  <c r="F59" i="1"/>
  <c r="G64" i="1" s="1"/>
  <c r="F581" i="3" l="1"/>
  <c r="G579" i="3"/>
  <c r="F582" i="3" s="1"/>
  <c r="E253" i="11"/>
  <c r="F250" i="11"/>
  <c r="G248" i="11"/>
  <c r="F251" i="11" s="1"/>
  <c r="F146" i="11"/>
  <c r="G150" i="11" s="1"/>
  <c r="B153" i="11" s="1"/>
  <c r="K138" i="11"/>
  <c r="I141" i="11" s="1"/>
  <c r="G166" i="14"/>
  <c r="B168" i="14" s="1"/>
  <c r="F265" i="10"/>
  <c r="G268" i="10" s="1"/>
  <c r="B270" i="10" s="1"/>
  <c r="G355" i="10" s="1"/>
  <c r="G217" i="10"/>
  <c r="F220" i="10" s="1"/>
  <c r="F219" i="10"/>
  <c r="G196" i="10"/>
  <c r="F199" i="10" s="1"/>
  <c r="F198" i="10"/>
  <c r="E201" i="10"/>
  <c r="K239" i="10"/>
  <c r="I242" i="10" s="1"/>
  <c r="B292" i="10"/>
  <c r="B42" i="3"/>
  <c r="B66" i="1"/>
  <c r="F257" i="11" l="1"/>
  <c r="G261" i="11" s="1"/>
  <c r="B264" i="11" s="1"/>
  <c r="K161" i="11"/>
  <c r="I164" i="11" s="1"/>
  <c r="F177" i="14"/>
  <c r="G175" i="14"/>
  <c r="F178" i="14" s="1"/>
  <c r="E180" i="14"/>
  <c r="F279" i="10"/>
  <c r="G277" i="10"/>
  <c r="F280" i="10" s="1"/>
  <c r="E282" i="10"/>
  <c r="F308" i="10"/>
  <c r="G311" i="10" s="1"/>
  <c r="K300" i="10"/>
  <c r="I303" i="10" s="1"/>
  <c r="K50" i="3"/>
  <c r="I53" i="3" s="1"/>
  <c r="K74" i="1"/>
  <c r="I77" i="1" s="1"/>
  <c r="G167" i="1"/>
  <c r="B169" i="1" s="1"/>
  <c r="F178" i="1" s="1"/>
  <c r="F58" i="3"/>
  <c r="G61" i="3" s="1"/>
  <c r="B63" i="3" s="1"/>
  <c r="K71" i="3" l="1"/>
  <c r="I74" i="3" s="1"/>
  <c r="F79" i="3"/>
  <c r="K272" i="11"/>
  <c r="I275" i="11" s="1"/>
  <c r="F280" i="11"/>
  <c r="G283" i="11" s="1"/>
  <c r="B285" i="11" s="1"/>
  <c r="B313" i="10"/>
  <c r="F294" i="11"/>
  <c r="E297" i="11"/>
  <c r="F302" i="11"/>
  <c r="G306" i="11" s="1"/>
  <c r="B309" i="11" s="1"/>
  <c r="F393" i="11" s="1"/>
  <c r="G292" i="11"/>
  <c r="F295" i="11" s="1"/>
  <c r="F186" i="1"/>
  <c r="G176" i="1"/>
  <c r="F179" i="1" s="1"/>
  <c r="G83" i="3"/>
  <c r="B86" i="3" s="1"/>
  <c r="F64" i="3"/>
  <c r="E181" i="1"/>
  <c r="B357" i="10" l="1"/>
  <c r="G320" i="10"/>
  <c r="F323" i="10" s="1"/>
  <c r="E325" i="10"/>
  <c r="F322" i="10"/>
  <c r="K317" i="11"/>
  <c r="I320" i="11" s="1"/>
  <c r="G396" i="11"/>
  <c r="B398" i="11" s="1"/>
  <c r="K94" i="3"/>
  <c r="I97" i="3" s="1"/>
  <c r="F102" i="3"/>
  <c r="G104" i="3" s="1"/>
  <c r="B106" i="3" s="1"/>
  <c r="F123" i="3" s="1"/>
  <c r="G364" i="10" l="1"/>
  <c r="F367" i="10" s="1"/>
  <c r="E369" i="10"/>
  <c r="F366" i="10"/>
  <c r="E410" i="11"/>
  <c r="F407" i="11"/>
  <c r="B420" i="11"/>
  <c r="F437" i="11" s="1"/>
  <c r="G441" i="11" s="1"/>
  <c r="G405" i="11"/>
  <c r="F408" i="11" s="1"/>
  <c r="G485" i="11"/>
  <c r="B487" i="11" s="1"/>
  <c r="E118" i="3"/>
  <c r="G113" i="3"/>
  <c r="F116" i="3" s="1"/>
  <c r="F115" i="3"/>
  <c r="G127" i="3"/>
  <c r="B130" i="3" s="1"/>
  <c r="G189" i="1"/>
  <c r="B191" i="1" s="1"/>
  <c r="K138" i="3" l="1"/>
  <c r="I141" i="3" s="1"/>
  <c r="F146" i="3"/>
  <c r="E432" i="11"/>
  <c r="F429" i="11"/>
  <c r="G427" i="11"/>
  <c r="F430" i="11" s="1"/>
  <c r="F504" i="11"/>
  <c r="G506" i="11" s="1"/>
  <c r="B508" i="11" s="1"/>
  <c r="G494" i="11"/>
  <c r="F497" i="11" s="1"/>
  <c r="F496" i="11"/>
  <c r="E499" i="11"/>
  <c r="G228" i="1"/>
  <c r="B230" i="1" s="1"/>
  <c r="K199" i="1"/>
  <c r="I202" i="1" s="1"/>
  <c r="G150" i="3"/>
  <c r="B153" i="3" s="1"/>
  <c r="G515" i="11" l="1"/>
  <c r="F518" i="11" s="1"/>
  <c r="E520" i="11"/>
  <c r="F517" i="11"/>
  <c r="G570" i="11"/>
  <c r="B572" i="11" s="1"/>
  <c r="K161" i="3"/>
  <c r="I164" i="3" s="1"/>
  <c r="G218" i="3"/>
  <c r="B221" i="3" s="1"/>
  <c r="K229" i="3" s="1"/>
  <c r="I232" i="3" s="1"/>
  <c r="G237" i="1"/>
  <c r="F240" i="1" s="1"/>
  <c r="F239" i="1"/>
  <c r="E242" i="1"/>
  <c r="F247" i="1"/>
  <c r="G251" i="1" s="1"/>
  <c r="B253" i="1" s="1"/>
  <c r="K261" i="1" s="1"/>
  <c r="I264" i="1" s="1"/>
  <c r="E584" i="11" l="1"/>
  <c r="F581" i="11"/>
  <c r="G579" i="11"/>
  <c r="F582" i="11" s="1"/>
  <c r="F269" i="1"/>
  <c r="G272" i="1" s="1"/>
  <c r="B274" i="1" s="1"/>
  <c r="G281" i="1" l="1"/>
  <c r="F284" i="1" s="1"/>
  <c r="F283" i="1"/>
  <c r="E286" i="1"/>
  <c r="F291" i="1"/>
  <c r="G295" i="1" s="1"/>
  <c r="B297" i="1" s="1"/>
  <c r="G304" i="1" l="1"/>
  <c r="F307" i="1" s="1"/>
  <c r="F306" i="1"/>
  <c r="E309" i="1"/>
  <c r="B7" i="15" l="1"/>
  <c r="G14" i="15" s="1"/>
  <c r="F17" i="15" s="1"/>
  <c r="F16" i="15" l="1"/>
  <c r="E19" i="15"/>
</calcChain>
</file>

<file path=xl/sharedStrings.xml><?xml version="1.0" encoding="utf-8"?>
<sst xmlns="http://schemas.openxmlformats.org/spreadsheetml/2006/main" count="4196" uniqueCount="193">
  <si>
    <t>BLOQUE 1</t>
  </si>
  <si>
    <t>AMBIENTES</t>
  </si>
  <si>
    <t>BLOQUE 2</t>
  </si>
  <si>
    <t>BLOQUE 3</t>
  </si>
  <si>
    <t>BLOQUE 4</t>
  </si>
  <si>
    <t>BLOQUE 5</t>
  </si>
  <si>
    <t>BLOQUE 6</t>
  </si>
  <si>
    <t>BLOQUE 7</t>
  </si>
  <si>
    <t>BLOQUE 8</t>
  </si>
  <si>
    <t>BLOQUE 9</t>
  </si>
  <si>
    <t>BLOQUE 10</t>
  </si>
  <si>
    <t>BLOQUE 11</t>
  </si>
  <si>
    <t>BLOQUE N°1</t>
  </si>
  <si>
    <t>C</t>
  </si>
  <si>
    <t>m2</t>
  </si>
  <si>
    <t>m3/s</t>
  </si>
  <si>
    <t>ÁREA</t>
  </si>
  <si>
    <t>I(mm/h)</t>
  </si>
  <si>
    <t>Q aporte(m3/s)</t>
  </si>
  <si>
    <t>Q/Montante(m3/s)</t>
  </si>
  <si>
    <t>ÁREA TECHO(ha)</t>
  </si>
  <si>
    <t>APORTE DE CAUDALES POR BLOQUE</t>
  </si>
  <si>
    <t>N° de Montantes</t>
  </si>
  <si>
    <t>BLOQUE N°2</t>
  </si>
  <si>
    <t>BLOQUE N°3</t>
  </si>
  <si>
    <t>BLOQUE N°4</t>
  </si>
  <si>
    <t>BLOQUE N°5</t>
  </si>
  <si>
    <t>BLOQUE N°6</t>
  </si>
  <si>
    <t>BLOQUE N°7</t>
  </si>
  <si>
    <t>BLOQUE N°8</t>
  </si>
  <si>
    <t>BLOQUE N°9</t>
  </si>
  <si>
    <t>BLOQUE N°10</t>
  </si>
  <si>
    <t>BLOQUE N°11</t>
  </si>
  <si>
    <t>Cálculo de Yn de canal RECTANGULAR</t>
  </si>
  <si>
    <t>Q</t>
  </si>
  <si>
    <t>z</t>
  </si>
  <si>
    <t>b</t>
  </si>
  <si>
    <t>Yn</t>
  </si>
  <si>
    <t>S</t>
  </si>
  <si>
    <t>A</t>
  </si>
  <si>
    <t>P</t>
  </si>
  <si>
    <t>R</t>
  </si>
  <si>
    <t>PASADISO QUIESCO SEC.</t>
  </si>
  <si>
    <t>Q TOTAL</t>
  </si>
  <si>
    <t>n concreto</t>
  </si>
  <si>
    <t>Yn(m)</t>
  </si>
  <si>
    <t>Yn=4/5*H</t>
  </si>
  <si>
    <t>CONDICION: Yn&lt;4/5xH</t>
  </si>
  <si>
    <t>H</t>
  </si>
  <si>
    <t>m</t>
  </si>
  <si>
    <t>m/m</t>
  </si>
  <si>
    <t>TRAMO 1: CANAL DETRÁS BLOQUE 10</t>
  </si>
  <si>
    <t>TRAMO 2: CANAL ENTRE BLOQUE 9 Y 10</t>
  </si>
  <si>
    <t>PASADISO DETRÁS BLOQUE 10</t>
  </si>
  <si>
    <t>CAUDAL ANTERIOR</t>
  </si>
  <si>
    <t>PASADISO ENTRE BLOQUE 9 Y 10</t>
  </si>
  <si>
    <t>n PVC</t>
  </si>
  <si>
    <t>D</t>
  </si>
  <si>
    <t>rad</t>
  </si>
  <si>
    <t>Diametro:</t>
  </si>
  <si>
    <t>Yn(cm)</t>
  </si>
  <si>
    <t>Yn=0.8*H</t>
  </si>
  <si>
    <t>CONDICION: Yn&lt;0.8xH</t>
  </si>
  <si>
    <t>PASADISO SOBRE TANQUE</t>
  </si>
  <si>
    <t>H de llegada</t>
  </si>
  <si>
    <t>pulg</t>
  </si>
  <si>
    <t>Q entrada</t>
  </si>
  <si>
    <t>Q obtenido</t>
  </si>
  <si>
    <t>θ para Yn=0.75*D</t>
  </si>
  <si>
    <t xml:space="preserve">CONCLUSIÓN: </t>
  </si>
  <si>
    <t>CONDICIÓN: Q entrada&lt;Q Obtenido</t>
  </si>
  <si>
    <t>Cálculo de D en tubería</t>
  </si>
  <si>
    <t>CAUDAL DE RAMPA</t>
  </si>
  <si>
    <t>CAUDAL DE RAMPA HACIA SÓTANO</t>
  </si>
  <si>
    <t>ÁREA LIBRE SOTANO</t>
  </si>
  <si>
    <t>ÁREA ENTRE BLOQUE 4 Y 5</t>
  </si>
  <si>
    <t>DISEÑO DE EVACUACIÓN PLUVIAL</t>
  </si>
  <si>
    <t>ÁREA LIBRE DETRÁS BLOQUE 8</t>
  </si>
  <si>
    <t>ÁREA LIBRE ENTRE BLOQUE 5 Y MURO PER.</t>
  </si>
  <si>
    <t>ÁREA LIBRE ENTRE BLOQUE 5 Y 6</t>
  </si>
  <si>
    <t>ÁREA LIBRE RAMPA</t>
  </si>
  <si>
    <t>H llegada</t>
  </si>
  <si>
    <t>V=</t>
  </si>
  <si>
    <t>ÁREA PATIO +LOSA</t>
  </si>
  <si>
    <t>TRAMO 1: CANAL DETRÁS BLOQUE 6</t>
  </si>
  <si>
    <t>m/s</t>
  </si>
  <si>
    <t>CAUDAL ESCALERA</t>
  </si>
  <si>
    <t>PATIO</t>
  </si>
  <si>
    <t>CAUDAL PATIO</t>
  </si>
  <si>
    <t>TRAMO 8: TUBERÍA DEBAJO DE JARDIN</t>
  </si>
  <si>
    <t>.</t>
  </si>
  <si>
    <t>ÁREA DETRÁS DEL BLOQUE 7 Y 8</t>
  </si>
  <si>
    <t>TRAMO 5: CANAL EN SÓTANO 2 ( A EVALULAR)</t>
  </si>
  <si>
    <t>θ para Yn=0.5*D</t>
  </si>
  <si>
    <t>CAUDAL PATIO-CAMINO CURVO</t>
  </si>
  <si>
    <t>∑TOTAL=</t>
  </si>
  <si>
    <t>V(m/s)</t>
  </si>
  <si>
    <t>CONDICIÓN: V&lt;3 m/s</t>
  </si>
  <si>
    <t>CONDICIÓN: V&lt;5 m/s</t>
  </si>
  <si>
    <t>Q permitido</t>
  </si>
  <si>
    <t>CONDICIÓN: Q entrada&lt;Q permitido</t>
  </si>
  <si>
    <t>BL(cm)</t>
  </si>
  <si>
    <t>TRAMO 3: TUBERÍA ENTERRADA DEBAJO DE TRIBUNAS</t>
  </si>
  <si>
    <t>TRAMO 5: TUBERÍA ENTERRADA ENTRE BLOQUE 5 Y 6</t>
  </si>
  <si>
    <t>TRAMO 6: CANAL EN SOTANO BLOQUE 5</t>
  </si>
  <si>
    <t>TRAMO 7: TUBERÍA ENTERRADA EN ÁREA LIBRE-SÓTANO BLOQUE 5</t>
  </si>
  <si>
    <t>TRAMO 8: TUBERÍA ENTERRADA DEBAJO DE MURO PERIMETRAL</t>
  </si>
  <si>
    <t>TRAMO 2: CANAL ENTRE BLOQUE 5 Y MURO PERIMETRAL</t>
  </si>
  <si>
    <t>TRAMO 3: CANAL ENTRE BLOQUE 5 Y 6</t>
  </si>
  <si>
    <t>TRAMO 4: TUBERÍA ENTERRADA DEBAJO DE RAMPA BLOQUE 5</t>
  </si>
  <si>
    <t>TRAMO 5: CANAL EN BASE DE RAMPA</t>
  </si>
  <si>
    <t>TRAMO 6: CANAL EN BASE DE LOSA SEC</t>
  </si>
  <si>
    <t>TRAMO EMISOR 1: CANAL EN BASE DE ESCALERA</t>
  </si>
  <si>
    <t>TRAMO EMISOR 2: TUBERÍA ENTERRADA DEBAJO DE PATIO</t>
  </si>
  <si>
    <t>TRAMO 7: CANAL EN LLEGADA DE CAMINO CURVO</t>
  </si>
  <si>
    <t>TRAMO 10: TUBERÍA ENTERRADA ENTRE BLOQUE 3 Y 4</t>
  </si>
  <si>
    <t>TRAMO 11: TUBERÍA LLEEGADA A DESARENADOR</t>
  </si>
  <si>
    <t>TRAMO 12: TUBERÍA ENTERRADA DEBAJO DE JARDIN SALIDA DE COLEGIO</t>
  </si>
  <si>
    <t>TRAMO 9: CANAL CORTO RECEPCIÓN PATIO PRIMARIA</t>
  </si>
  <si>
    <t>TRAMO EMISOR 1: CANAL RAMPA DE ESTACIONAMIENTO 1</t>
  </si>
  <si>
    <t>TRAMO EMISOR 2: CANAL RAMPA DE ESTACIONAMIENTO 2</t>
  </si>
  <si>
    <t>TRAMO EMISOR 3: CANAL DETRÁS DEL BLOQUE 7 Y 8</t>
  </si>
  <si>
    <t>TRAMO EMISOR 4: TUBERÍA ENTERRADA ENTRE BLOQUE 8 Y 9</t>
  </si>
  <si>
    <t>TRAMO 4: CANAL EN INGRESO DE ESTACIONAMIENTO</t>
  </si>
  <si>
    <t>TRAMO 13: TUBERÍA ENTERRADA PUERTASALIDA DE COLEGIO</t>
  </si>
  <si>
    <t>ÀREA DE RAMPA 1</t>
  </si>
  <si>
    <t>ÀREA DE RAMPA 2</t>
  </si>
  <si>
    <t>TRAMO EMISOR 2: TUBERÍA ENTERRADA SALIDA DE ESCALERA 1-TRAMO1</t>
  </si>
  <si>
    <t>CAUDAL LOSA PRIMARIA</t>
  </si>
  <si>
    <t>ÁREA PATIO +LOSA SEC.</t>
  </si>
  <si>
    <t>ESPACIO LIBRE COSTADO BLQ. 1</t>
  </si>
  <si>
    <t xml:space="preserve">ESPACIO LIBRE </t>
  </si>
  <si>
    <t>CAUDAL ESCALERA Y PATIO</t>
  </si>
  <si>
    <t>OJO</t>
  </si>
  <si>
    <t>TUBERÍA 2DO NIVEL BLOQUE 1 CON AV. GARCILASO</t>
  </si>
  <si>
    <t>TRAMO 3: TUBERÍA ENTERRADA ENTRE BLOQUE 8 Y 9</t>
  </si>
  <si>
    <t>TRAMO 4: CANAL DETRÁS DEL BLOQUE 7 Y 8</t>
  </si>
  <si>
    <t>TRAMO 5: TUBERÍA ENTERRADA DEBAJO DE RAMPA DE ESTACIONAMIENTO</t>
  </si>
  <si>
    <t>TRAMO 6: TUBERÍA ENTERRADA DETRÁS BLOQUE 6</t>
  </si>
  <si>
    <t>TRAMO 7: TUBERÍA ENTERRADA LLEGADA A BLOQUE 5 SÓTANO</t>
  </si>
  <si>
    <t>TRAMO 1': CANAL EN INGRESO DE ESTACIONAMIENTO</t>
  </si>
  <si>
    <t>TRAMO 2': TUBERÍA ENTERRADA ENTRE BLOQUE 5 Y 6</t>
  </si>
  <si>
    <t>TRAMO 1'': CANAL EN SOTANO BLOQUE 5 BAJO ESCALERA METÁLICA</t>
  </si>
  <si>
    <t>TRAMO 2'': TUBERÍA ENTERRADA DEBAJO DE JARDIN-BLOQUE 5 SÓTANO</t>
  </si>
  <si>
    <t xml:space="preserve">TRAMO 3'': CANAL EN SÓTANO BLOQUE 5 </t>
  </si>
  <si>
    <t>TRAMO EMISOR 1: CANAL EN BASE DE ESCALERA 1</t>
  </si>
  <si>
    <t>TRAMO EMISOR 3: CANAL INTERMEDIO CAMINO CURVO</t>
  </si>
  <si>
    <t>TRAMO EMISOR 4: TUBERÍA ENTERRADA SALIDA DE ESCALERA 1-TRAMO 2</t>
  </si>
  <si>
    <t>TRAMO EMISOR 1': CANAL EN BASE DE ESCALERA 2</t>
  </si>
  <si>
    <t>TRAMO EMISOR 2': TUBERÍA ENTERRADA DEBAJO DE PATIO 2</t>
  </si>
  <si>
    <t>TRAMO EMISOR 3': TUBERÍA ENTERRADA DEBAJO DE PATIO PRIMARIA</t>
  </si>
  <si>
    <t xml:space="preserve">TRAMO EMISOR 1'': TUBERÍA ENTERRADA DETRÁS BLOQUE 1,2 </t>
  </si>
  <si>
    <t>TRAMO EMISOR 2'': CANAL DETRÁS BLOQUE 1,2 Y 3</t>
  </si>
  <si>
    <t>TRAMO EMISOR 3'': TUBERÍA ENTERRADA QUIESCO PRIM</t>
  </si>
  <si>
    <t>TRAMO EMISOR 1'''': CANAL LADO DERECHO BLOQUE 4</t>
  </si>
  <si>
    <t>TRAMO EMISOR 2'''': TUBERÍA ENTERRADA DEBAJO DE JARDIN</t>
  </si>
  <si>
    <t>TRAMO 1: CANAL EN INGRESO DE ESTACIONAMIENTO</t>
  </si>
  <si>
    <t>TRAMO 2: TUBERÍA ENTERRADA ENTRE BLOQUE 5 Y 6</t>
  </si>
  <si>
    <t>TRAMO 1': CANAL EN SOTANO BLOQUE 5 BAJO ESCALERA METÁLICA</t>
  </si>
  <si>
    <t>TRAMO 2': TUBERÍA ENTERRADA DEBAJO DE JARDIN-BLOQUE 5 SÓTANO</t>
  </si>
  <si>
    <t xml:space="preserve">TRAMO 3': CANAL EN SÓTANO BLOQUE 5 </t>
  </si>
  <si>
    <t>TRAMO 3: TUBERÍA ENTERRADA DEBAJO DE MURO PERIMETRAL</t>
  </si>
  <si>
    <t>TRAMO 1: CANAL DETRÁS DEL BLOQUE 7 Y 8</t>
  </si>
  <si>
    <t>TRAMO 2: TUBERÍA ENTERRADA ENTRE BLOQUE 8 Y 9</t>
  </si>
  <si>
    <t>TRAMO 3: CANAL ENTRE BLOQUE 9 Y 10</t>
  </si>
  <si>
    <t>TRAMO 4: CANAL DETRÁS BLOQUE 10</t>
  </si>
  <si>
    <t>TRAMO 5: TUBERÍA ENTERRADA DEBAJO DE PATIO ENTRE BLOQUE 5 Y ESCALERA PRINCIPAL</t>
  </si>
  <si>
    <t>TRAMO 6: CANAL EN BASE DE ESCALERA</t>
  </si>
  <si>
    <t>TRAMO EMISOR 7: TUBERÍA ENTERRADA SALIDA DE ESCALERA 1-TRAMO1</t>
  </si>
  <si>
    <t>TRAMO 8: CANAL INTERMEDIO CAMINO CURVO</t>
  </si>
  <si>
    <t>TRAMO 9: TUBERÍA ENTERRADA SALIDA DE ESCALERA 1-TRAMO 2</t>
  </si>
  <si>
    <t>TRAMO 1': CANAL DETRÁS BLOQUE 6</t>
  </si>
  <si>
    <t>TRAMO 2': CANAL ENTRE BLOQUE 5 Y MURO PERIMETRAL</t>
  </si>
  <si>
    <t>TRAMO 3': CANAL ENTRE BLOQUE 5 Y 6</t>
  </si>
  <si>
    <t>TRAMO 4': TUBERÍA ENTERRADA DEBAJO DE RAMPA BLOQUE 5</t>
  </si>
  <si>
    <t>TRAMO 5': CANAL EN BASE DE RAMPA</t>
  </si>
  <si>
    <t>TRAMO 6': CANAL EN BASE DE LOSA SEC</t>
  </si>
  <si>
    <t>TRAMO 10: CANAL EN LLEGADA DE CAMINO CURVO</t>
  </si>
  <si>
    <t>TRAMO 11: TUBERÍA DEBAJO DE JARDIN</t>
  </si>
  <si>
    <t>TRAMO 12: CANAL CORTO RECEPCIÓN PATIO PRIMARIA</t>
  </si>
  <si>
    <t>TRAMO 1'': CANAL EN BASE DE ESCALERA 2</t>
  </si>
  <si>
    <t>TRAMO EMISOR 2'': TUBERÍA ENTERRADA DEBAJO DE PATIO 2</t>
  </si>
  <si>
    <t>TRAMO 3'': TUBERÍA ENTERRADA DEBAJO DE PATIO PRIMARIA</t>
  </si>
  <si>
    <t>TRAMO 13: TUBERÍA ENTERRADA ENTRE BLOQUE 3 Y 4</t>
  </si>
  <si>
    <t xml:space="preserve">TRAMO EMISOR 1''': TUBERÍA ENTERRADA DETRÁS BLOQUE 1,2 </t>
  </si>
  <si>
    <t>TRAMO EMISOR 2''': CANAL DETRÁS BLOQUE 1,2 Y 3</t>
  </si>
  <si>
    <t>TRAMO EMISOR 3''': TUBERÍA ENTERRADA QUIESCO PRIM</t>
  </si>
  <si>
    <t>TRAMO 14: TUBERÍA LLEEGADA A DESARENADOR</t>
  </si>
  <si>
    <t>TRAMO 15: TUBERÍA ENTERRADA DEBAJO DE JARDIN SALIDA DE COLEGIO</t>
  </si>
  <si>
    <t>TRAMO 16: TUBERÍA ENTERRADA PUERTA SALIDA DE COLEGIO</t>
  </si>
  <si>
    <t>TRAMO EMISOR 3: CANAL EN LLEGADA DE CAMINO CURVO</t>
  </si>
  <si>
    <t>TRAMO EMISOR 1''': CANAL LADO DERECHO BLOQUE 4</t>
  </si>
  <si>
    <t>TRAMO EMISOR 2'': TUBERÍA ENTERRADA DEBAJO DE JARDIN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</si>
</sst>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 * #,##0.00_ ;_ * \-#,##0.00_ ;_ * &quot;-&quot;??_ ;_ @_ "/>
    <numFmt numFmtId="165" formatCode="0.00000"/>
    <numFmt numFmtId="166" formatCode="0.0000"/>
    <numFmt numFmtId="167" formatCode="0.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color theme="1"/>
      <name val="Calibri"/>
      <family val="2"/>
    </font>
    <font>
      <b/>
      <sz val="14"/>
      <color rgb="FF0070C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Fill="1" applyBorder="1"/>
    <xf numFmtId="0" fontId="0" fillId="0" borderId="1" xfId="0" applyFill="1" applyBorder="1"/>
    <xf numFmtId="0" fontId="1" fillId="0" borderId="1" xfId="0" applyFont="1" applyBorder="1"/>
    <xf numFmtId="165" fontId="0" fillId="0" borderId="1" xfId="0" applyNumberFormat="1" applyBorder="1"/>
    <xf numFmtId="0" fontId="0" fillId="2" borderId="1" xfId="0" applyFill="1" applyBorder="1"/>
    <xf numFmtId="0" fontId="1" fillId="3" borderId="1" xfId="0" applyFont="1" applyFill="1" applyBorder="1"/>
    <xf numFmtId="0" fontId="0" fillId="3" borderId="1" xfId="0" applyFill="1" applyBorder="1"/>
    <xf numFmtId="0" fontId="4" fillId="0" borderId="0" xfId="0" applyFont="1"/>
    <xf numFmtId="0" fontId="0" fillId="0" borderId="0" xfId="0" applyBorder="1"/>
    <xf numFmtId="165" fontId="0" fillId="0" borderId="0" xfId="0" applyNumberFormat="1" applyBorder="1"/>
    <xf numFmtId="165" fontId="0" fillId="0" borderId="0" xfId="0" applyNumberFormat="1"/>
    <xf numFmtId="165" fontId="0" fillId="2" borderId="1" xfId="0" applyNumberFormat="1" applyFill="1" applyBorder="1"/>
    <xf numFmtId="167" fontId="0" fillId="2" borderId="1" xfId="0" applyNumberFormat="1" applyFill="1" applyBorder="1"/>
    <xf numFmtId="166" fontId="0" fillId="3" borderId="1" xfId="0" applyNumberFormat="1" applyFill="1" applyBorder="1"/>
    <xf numFmtId="0" fontId="1" fillId="0" borderId="1" xfId="0" applyFont="1" applyFill="1" applyBorder="1"/>
    <xf numFmtId="164" fontId="0" fillId="0" borderId="1" xfId="0" applyNumberFormat="1" applyBorder="1"/>
    <xf numFmtId="0" fontId="3" fillId="0" borderId="1" xfId="0" applyFont="1" applyBorder="1"/>
    <xf numFmtId="2" fontId="0" fillId="3" borderId="1" xfId="0" applyNumberFormat="1" applyFill="1" applyBorder="1"/>
    <xf numFmtId="0" fontId="4" fillId="0" borderId="1" xfId="0" applyFont="1" applyBorder="1"/>
    <xf numFmtId="0" fontId="0" fillId="4" borderId="1" xfId="0" applyFill="1" applyBorder="1"/>
    <xf numFmtId="0" fontId="1" fillId="0" borderId="1" xfId="0" applyFont="1" applyBorder="1" applyAlignment="1">
      <alignment vertical="center"/>
    </xf>
    <xf numFmtId="0" fontId="0" fillId="0" borderId="0" xfId="0" applyBorder="1" applyAlignment="1">
      <alignment horizontal="center"/>
    </xf>
    <xf numFmtId="0" fontId="3" fillId="0" borderId="0" xfId="0" applyFont="1" applyBorder="1"/>
    <xf numFmtId="0" fontId="6" fillId="0" borderId="0" xfId="0" applyFont="1"/>
    <xf numFmtId="0" fontId="1" fillId="4" borderId="0" xfId="0" applyFont="1" applyFill="1"/>
    <xf numFmtId="0" fontId="5" fillId="0" borderId="0" xfId="0" applyFont="1"/>
    <xf numFmtId="0" fontId="1" fillId="2" borderId="1" xfId="0" applyFont="1" applyFill="1" applyBorder="1"/>
    <xf numFmtId="0" fontId="7" fillId="0" borderId="1" xfId="0" applyFont="1" applyBorder="1" applyAlignment="1">
      <alignment horizontal="right"/>
    </xf>
    <xf numFmtId="166" fontId="0" fillId="0" borderId="1" xfId="0" applyNumberFormat="1" applyFill="1" applyBorder="1"/>
    <xf numFmtId="2" fontId="0" fillId="0" borderId="1" xfId="0" applyNumberFormat="1" applyBorder="1"/>
    <xf numFmtId="0" fontId="1" fillId="0" borderId="0" xfId="0" applyFont="1" applyFill="1" applyBorder="1"/>
    <xf numFmtId="0" fontId="0" fillId="0" borderId="0" xfId="0" applyFill="1"/>
    <xf numFmtId="0" fontId="1" fillId="0" borderId="0" xfId="0" applyFont="1" applyFill="1"/>
    <xf numFmtId="0" fontId="0" fillId="4" borderId="0" xfId="0" applyFill="1"/>
    <xf numFmtId="0" fontId="8" fillId="0" borderId="0" xfId="0" applyFont="1"/>
    <xf numFmtId="0" fontId="0" fillId="5" borderId="0" xfId="0" applyFill="1"/>
    <xf numFmtId="0" fontId="0" fillId="5" borderId="1" xfId="0" applyFill="1" applyBorder="1"/>
    <xf numFmtId="165" fontId="0" fillId="5" borderId="1" xfId="0" applyNumberFormat="1" applyFill="1" applyBorder="1"/>
    <xf numFmtId="165" fontId="0" fillId="5" borderId="0" xfId="0" applyNumberFormat="1" applyFill="1" applyBorder="1"/>
    <xf numFmtId="0" fontId="1" fillId="5" borderId="0" xfId="0" applyFont="1" applyFill="1"/>
    <xf numFmtId="165" fontId="0" fillId="0" borderId="1" xfId="0" applyNumberFormat="1" applyFill="1" applyBorder="1"/>
    <xf numFmtId="165" fontId="0" fillId="0" borderId="0" xfId="0" applyNumberFormat="1" applyFill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436"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9C0006"/>
      </font>
    </dxf>
    <dxf>
      <font>
        <color rgb="FF9C0006"/>
      </font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ill>
        <patternFill>
          <bgColor rgb="FF00B0F0"/>
        </patternFill>
      </fill>
    </dxf>
    <dxf>
      <font>
        <color rgb="FF9C0006"/>
      </font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3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162832</xdr:colOff>
      <xdr:row>19</xdr:row>
      <xdr:rowOff>20609</xdr:rowOff>
    </xdr:from>
    <xdr:to>
      <xdr:col>12</xdr:col>
      <xdr:colOff>129606</xdr:colOff>
      <xdr:row>25</xdr:row>
      <xdr:rowOff>87132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53903" y="3728555"/>
          <a:ext cx="4321060" cy="1223131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7</xdr:col>
      <xdr:colOff>279779</xdr:colOff>
      <xdr:row>35</xdr:row>
      <xdr:rowOff>55168</xdr:rowOff>
    </xdr:from>
    <xdr:to>
      <xdr:col>10</xdr:col>
      <xdr:colOff>225040</xdr:colOff>
      <xdr:row>45</xdr:row>
      <xdr:rowOff>112515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658802" y="7303098"/>
          <a:ext cx="2772996" cy="1992112"/>
        </a:xfrm>
        <a:prstGeom prst="rect">
          <a:avLst/>
        </a:prstGeom>
        <a:ln w="1905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14</xdr:col>
      <xdr:colOff>301625</xdr:colOff>
      <xdr:row>183</xdr:row>
      <xdr:rowOff>0</xdr:rowOff>
    </xdr:from>
    <xdr:to>
      <xdr:col>19</xdr:col>
      <xdr:colOff>601835</xdr:colOff>
      <xdr:row>200</xdr:row>
      <xdr:rowOff>44251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815219" y="27220664"/>
          <a:ext cx="4095327" cy="3378002"/>
        </a:xfrm>
        <a:prstGeom prst="rect">
          <a:avLst/>
        </a:prstGeom>
      </xdr:spPr>
    </xdr:pic>
    <xdr:clientData/>
  </xdr:twoCellAnchor>
  <xdr:twoCellAnchor editAs="oneCell">
    <xdr:from>
      <xdr:col>10</xdr:col>
      <xdr:colOff>482600</xdr:colOff>
      <xdr:row>183</xdr:row>
      <xdr:rowOff>0</xdr:rowOff>
    </xdr:from>
    <xdr:to>
      <xdr:col>14</xdr:col>
      <xdr:colOff>37931</xdr:colOff>
      <xdr:row>192</xdr:row>
      <xdr:rowOff>157161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781506" y="27322661"/>
          <a:ext cx="2770019" cy="1943098"/>
        </a:xfrm>
        <a:prstGeom prst="rect">
          <a:avLst/>
        </a:prstGeom>
        <a:ln w="1905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13</xdr:col>
      <xdr:colOff>132528</xdr:colOff>
      <xdr:row>19</xdr:row>
      <xdr:rowOff>39689</xdr:rowOff>
    </xdr:from>
    <xdr:to>
      <xdr:col>18</xdr:col>
      <xdr:colOff>318361</xdr:colOff>
      <xdr:row>42</xdr:row>
      <xdr:rowOff>163419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059314" y="3747635"/>
          <a:ext cx="3984494" cy="4602748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oneCellAnchor>
    <xdr:from>
      <xdr:col>14</xdr:col>
      <xdr:colOff>301625</xdr:colOff>
      <xdr:row>183</xdr:row>
      <xdr:rowOff>0</xdr:rowOff>
    </xdr:from>
    <xdr:ext cx="4095327" cy="3378002"/>
    <xdr:pic>
      <xdr:nvPicPr>
        <xdr:cNvPr id="10" name="Imagen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964047" y="35867578"/>
          <a:ext cx="4095327" cy="3378002"/>
        </a:xfrm>
        <a:prstGeom prst="rect">
          <a:avLst/>
        </a:prstGeom>
      </xdr:spPr>
    </xdr:pic>
    <xdr:clientData/>
  </xdr:oneCellAnchor>
  <xdr:oneCellAnchor>
    <xdr:from>
      <xdr:col>10</xdr:col>
      <xdr:colOff>482600</xdr:colOff>
      <xdr:row>183</xdr:row>
      <xdr:rowOff>0</xdr:rowOff>
    </xdr:from>
    <xdr:ext cx="2770019" cy="1943098"/>
    <xdr:pic>
      <xdr:nvPicPr>
        <xdr:cNvPr id="11" name="Imagen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930334" y="35969575"/>
          <a:ext cx="2770019" cy="1943098"/>
        </a:xfrm>
        <a:prstGeom prst="rect">
          <a:avLst/>
        </a:prstGeom>
        <a:ln w="1905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153033</xdr:colOff>
      <xdr:row>19</xdr:row>
      <xdr:rowOff>37786</xdr:rowOff>
    </xdr:from>
    <xdr:to>
      <xdr:col>11</xdr:col>
      <xdr:colOff>870042</xdr:colOff>
      <xdr:row>25</xdr:row>
      <xdr:rowOff>102095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37248" y="3670577"/>
          <a:ext cx="4327649" cy="1194018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7</xdr:col>
      <xdr:colOff>180905</xdr:colOff>
      <xdr:row>35</xdr:row>
      <xdr:rowOff>11814</xdr:rowOff>
    </xdr:from>
    <xdr:to>
      <xdr:col>10</xdr:col>
      <xdr:colOff>117237</xdr:colOff>
      <xdr:row>45</xdr:row>
      <xdr:rowOff>125300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65120" y="6712541"/>
          <a:ext cx="2782757" cy="1996335"/>
        </a:xfrm>
        <a:prstGeom prst="rect">
          <a:avLst/>
        </a:prstGeom>
        <a:ln w="1905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10</xdr:col>
      <xdr:colOff>122200</xdr:colOff>
      <xdr:row>99</xdr:row>
      <xdr:rowOff>220406</xdr:rowOff>
    </xdr:from>
    <xdr:to>
      <xdr:col>15</xdr:col>
      <xdr:colOff>247786</xdr:colOff>
      <xdr:row>117</xdr:row>
      <xdr:rowOff>131256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352840" y="18705551"/>
          <a:ext cx="4123870" cy="3399659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12</xdr:col>
      <xdr:colOff>211522</xdr:colOff>
      <xdr:row>19</xdr:row>
      <xdr:rowOff>51271</xdr:rowOff>
    </xdr:from>
    <xdr:to>
      <xdr:col>17</xdr:col>
      <xdr:colOff>397357</xdr:colOff>
      <xdr:row>43</xdr:row>
      <xdr:rowOff>29858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147801" y="3684062"/>
          <a:ext cx="4006911" cy="4552802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301625</xdr:colOff>
      <xdr:row>224</xdr:row>
      <xdr:rowOff>0</xdr:rowOff>
    </xdr:from>
    <xdr:to>
      <xdr:col>19</xdr:col>
      <xdr:colOff>601835</xdr:colOff>
      <xdr:row>241</xdr:row>
      <xdr:rowOff>44251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751050" y="35337750"/>
          <a:ext cx="4110210" cy="3330376"/>
        </a:xfrm>
        <a:prstGeom prst="rect">
          <a:avLst/>
        </a:prstGeom>
      </xdr:spPr>
    </xdr:pic>
    <xdr:clientData/>
  </xdr:twoCellAnchor>
  <xdr:oneCellAnchor>
    <xdr:from>
      <xdr:col>14</xdr:col>
      <xdr:colOff>301625</xdr:colOff>
      <xdr:row>224</xdr:row>
      <xdr:rowOff>0</xdr:rowOff>
    </xdr:from>
    <xdr:ext cx="4095327" cy="3378002"/>
    <xdr:pic>
      <xdr:nvPicPr>
        <xdr:cNvPr id="7" name="Imagen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751050" y="35337750"/>
          <a:ext cx="4095327" cy="3378002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153033</xdr:colOff>
      <xdr:row>19</xdr:row>
      <xdr:rowOff>37786</xdr:rowOff>
    </xdr:from>
    <xdr:to>
      <xdr:col>11</xdr:col>
      <xdr:colOff>870042</xdr:colOff>
      <xdr:row>25</xdr:row>
      <xdr:rowOff>102095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35033" y="3704911"/>
          <a:ext cx="4317459" cy="1207309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7</xdr:col>
      <xdr:colOff>180905</xdr:colOff>
      <xdr:row>35</xdr:row>
      <xdr:rowOff>11814</xdr:rowOff>
    </xdr:from>
    <xdr:to>
      <xdr:col>10</xdr:col>
      <xdr:colOff>117237</xdr:colOff>
      <xdr:row>45</xdr:row>
      <xdr:rowOff>125300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62905" y="6774564"/>
          <a:ext cx="2774782" cy="2018486"/>
        </a:xfrm>
        <a:prstGeom prst="rect">
          <a:avLst/>
        </a:prstGeom>
        <a:ln w="1905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10</xdr:col>
      <xdr:colOff>122200</xdr:colOff>
      <xdr:row>99</xdr:row>
      <xdr:rowOff>220406</xdr:rowOff>
    </xdr:from>
    <xdr:to>
      <xdr:col>15</xdr:col>
      <xdr:colOff>247786</xdr:colOff>
      <xdr:row>117</xdr:row>
      <xdr:rowOff>131256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342650" y="19270406"/>
          <a:ext cx="4116561" cy="3425575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12</xdr:col>
      <xdr:colOff>211522</xdr:colOff>
      <xdr:row>19</xdr:row>
      <xdr:rowOff>51271</xdr:rowOff>
    </xdr:from>
    <xdr:to>
      <xdr:col>17</xdr:col>
      <xdr:colOff>397357</xdr:colOff>
      <xdr:row>43</xdr:row>
      <xdr:rowOff>29858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136947" y="3718396"/>
          <a:ext cx="3995835" cy="4598212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162832</xdr:colOff>
      <xdr:row>19</xdr:row>
      <xdr:rowOff>20609</xdr:rowOff>
    </xdr:from>
    <xdr:to>
      <xdr:col>12</xdr:col>
      <xdr:colOff>129606</xdr:colOff>
      <xdr:row>25</xdr:row>
      <xdr:rowOff>87132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44832" y="3687734"/>
          <a:ext cx="4329224" cy="1209523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14</xdr:col>
      <xdr:colOff>301625</xdr:colOff>
      <xdr:row>35</xdr:row>
      <xdr:rowOff>0</xdr:rowOff>
    </xdr:from>
    <xdr:to>
      <xdr:col>19</xdr:col>
      <xdr:colOff>601835</xdr:colOff>
      <xdr:row>52</xdr:row>
      <xdr:rowOff>44251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51050" y="43338750"/>
          <a:ext cx="4110210" cy="3330376"/>
        </a:xfrm>
        <a:prstGeom prst="rect">
          <a:avLst/>
        </a:prstGeom>
      </xdr:spPr>
    </xdr:pic>
    <xdr:clientData/>
  </xdr:twoCellAnchor>
  <xdr:twoCellAnchor editAs="oneCell">
    <xdr:from>
      <xdr:col>10</xdr:col>
      <xdr:colOff>482600</xdr:colOff>
      <xdr:row>35</xdr:row>
      <xdr:rowOff>0</xdr:rowOff>
    </xdr:from>
    <xdr:to>
      <xdr:col>14</xdr:col>
      <xdr:colOff>37931</xdr:colOff>
      <xdr:row>44</xdr:row>
      <xdr:rowOff>157161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703050" y="43338750"/>
          <a:ext cx="2784306" cy="1919286"/>
        </a:xfrm>
        <a:prstGeom prst="rect">
          <a:avLst/>
        </a:prstGeom>
        <a:ln w="1905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13</xdr:col>
      <xdr:colOff>132528</xdr:colOff>
      <xdr:row>19</xdr:row>
      <xdr:rowOff>39689</xdr:rowOff>
    </xdr:from>
    <xdr:to>
      <xdr:col>18</xdr:col>
      <xdr:colOff>318361</xdr:colOff>
      <xdr:row>42</xdr:row>
      <xdr:rowOff>163419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819953" y="3706814"/>
          <a:ext cx="3995833" cy="4552855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oneCellAnchor>
    <xdr:from>
      <xdr:col>14</xdr:col>
      <xdr:colOff>301625</xdr:colOff>
      <xdr:row>35</xdr:row>
      <xdr:rowOff>0</xdr:rowOff>
    </xdr:from>
    <xdr:ext cx="4095327" cy="3378002"/>
    <xdr:pic>
      <xdr:nvPicPr>
        <xdr:cNvPr id="7" name="Imagen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51050" y="43338750"/>
          <a:ext cx="4095327" cy="3378002"/>
        </a:xfrm>
        <a:prstGeom prst="rect">
          <a:avLst/>
        </a:prstGeom>
      </xdr:spPr>
    </xdr:pic>
    <xdr:clientData/>
  </xdr:oneCellAnchor>
  <xdr:oneCellAnchor>
    <xdr:from>
      <xdr:col>10</xdr:col>
      <xdr:colOff>482600</xdr:colOff>
      <xdr:row>35</xdr:row>
      <xdr:rowOff>0</xdr:rowOff>
    </xdr:from>
    <xdr:ext cx="2770019" cy="1943098"/>
    <xdr:pic>
      <xdr:nvPicPr>
        <xdr:cNvPr id="8" name="Imagen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703050" y="43338750"/>
          <a:ext cx="2770019" cy="1943098"/>
        </a:xfrm>
        <a:prstGeom prst="rect">
          <a:avLst/>
        </a:prstGeom>
        <a:ln w="1905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180905</xdr:colOff>
      <xdr:row>273</xdr:row>
      <xdr:rowOff>11814</xdr:rowOff>
    </xdr:from>
    <xdr:to>
      <xdr:col>10</xdr:col>
      <xdr:colOff>117237</xdr:colOff>
      <xdr:row>283</xdr:row>
      <xdr:rowOff>125300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F14AFC07-9788-42A6-B491-E6CB18DB60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62905" y="52827939"/>
          <a:ext cx="2774782" cy="2018486"/>
        </a:xfrm>
        <a:prstGeom prst="rect">
          <a:avLst/>
        </a:prstGeom>
        <a:ln w="1905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12</xdr:col>
      <xdr:colOff>211522</xdr:colOff>
      <xdr:row>19</xdr:row>
      <xdr:rowOff>51271</xdr:rowOff>
    </xdr:from>
    <xdr:to>
      <xdr:col>17</xdr:col>
      <xdr:colOff>397357</xdr:colOff>
      <xdr:row>56</xdr:row>
      <xdr:rowOff>105587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781EE3B9-C86B-4C3F-B280-89F4DC7DE0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136947" y="3718396"/>
          <a:ext cx="3995835" cy="4598212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oneCellAnchor>
    <xdr:from>
      <xdr:col>7</xdr:col>
      <xdr:colOff>279779</xdr:colOff>
      <xdr:row>184</xdr:row>
      <xdr:rowOff>0</xdr:rowOff>
    </xdr:from>
    <xdr:ext cx="2778948" cy="1962346"/>
    <xdr:pic>
      <xdr:nvPicPr>
        <xdr:cNvPr id="6" name="Imagen 5">
          <a:extLst>
            <a:ext uri="{FF2B5EF4-FFF2-40B4-BE49-F238E27FC236}">
              <a16:creationId xmlns:a16="http://schemas.microsoft.com/office/drawing/2014/main" id="{D50C43F1-165C-4CE2-865B-F732ABDBC7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61779" y="35528250"/>
          <a:ext cx="2778948" cy="1962346"/>
        </a:xfrm>
        <a:prstGeom prst="rect">
          <a:avLst/>
        </a:prstGeom>
        <a:ln w="1905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oneCellAnchor>
  <xdr:oneCellAnchor>
    <xdr:from>
      <xdr:col>7</xdr:col>
      <xdr:colOff>279779</xdr:colOff>
      <xdr:row>141</xdr:row>
      <xdr:rowOff>55168</xdr:rowOff>
    </xdr:from>
    <xdr:ext cx="2772996" cy="1992112"/>
    <xdr:pic>
      <xdr:nvPicPr>
        <xdr:cNvPr id="7" name="Imagen 6">
          <a:extLst>
            <a:ext uri="{FF2B5EF4-FFF2-40B4-BE49-F238E27FC236}">
              <a16:creationId xmlns:a16="http://schemas.microsoft.com/office/drawing/2014/main" id="{2037B449-B474-49A3-837E-34F8D313FE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61779" y="27296668"/>
          <a:ext cx="2772996" cy="1992112"/>
        </a:xfrm>
        <a:prstGeom prst="rect">
          <a:avLst/>
        </a:prstGeom>
        <a:ln w="1905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2:T309"/>
  <sheetViews>
    <sheetView topLeftCell="A157" zoomScale="73" zoomScaleNormal="73" workbookViewId="0">
      <selection activeCell="E45" sqref="E45"/>
    </sheetView>
  </sheetViews>
  <sheetFormatPr baseColWidth="10" defaultRowHeight="14.4" x14ac:dyDescent="0.3"/>
  <cols>
    <col min="1" max="1" width="29.109375" bestFit="1" customWidth="1"/>
    <col min="2" max="2" width="19.109375" customWidth="1"/>
    <col min="3" max="3" width="13.44140625" bestFit="1" customWidth="1"/>
    <col min="4" max="4" width="12.5546875" customWidth="1"/>
    <col min="5" max="5" width="17" customWidth="1"/>
    <col min="6" max="6" width="14.6640625" customWidth="1"/>
    <col min="7" max="8" width="19.6640625" customWidth="1"/>
    <col min="13" max="13" width="14.109375" customWidth="1"/>
  </cols>
  <sheetData>
    <row r="2" spans="1:3" ht="18" x14ac:dyDescent="0.35">
      <c r="A2" s="10" t="s">
        <v>76</v>
      </c>
    </row>
    <row r="4" spans="1:3" x14ac:dyDescent="0.3">
      <c r="A4" s="29" t="s">
        <v>1</v>
      </c>
      <c r="B4" s="45" t="s">
        <v>16</v>
      </c>
      <c r="C4" s="46"/>
    </row>
    <row r="5" spans="1:3" x14ac:dyDescent="0.3">
      <c r="A5" s="7" t="s">
        <v>0</v>
      </c>
      <c r="B5" s="2">
        <v>76.27</v>
      </c>
      <c r="C5" s="2" t="s">
        <v>14</v>
      </c>
    </row>
    <row r="6" spans="1:3" x14ac:dyDescent="0.3">
      <c r="A6" s="7" t="s">
        <v>2</v>
      </c>
      <c r="B6" s="2">
        <v>334.08</v>
      </c>
      <c r="C6" s="2" t="s">
        <v>14</v>
      </c>
    </row>
    <row r="7" spans="1:3" x14ac:dyDescent="0.3">
      <c r="A7" s="7" t="s">
        <v>3</v>
      </c>
      <c r="B7" s="2">
        <v>47.84</v>
      </c>
      <c r="C7" s="2" t="s">
        <v>14</v>
      </c>
    </row>
    <row r="8" spans="1:3" x14ac:dyDescent="0.3">
      <c r="A8" s="7" t="s">
        <v>4</v>
      </c>
      <c r="B8" s="2">
        <v>359.24</v>
      </c>
      <c r="C8" s="2" t="s">
        <v>14</v>
      </c>
    </row>
    <row r="9" spans="1:3" x14ac:dyDescent="0.3">
      <c r="A9" s="7" t="s">
        <v>5</v>
      </c>
      <c r="B9" s="2">
        <v>424.78</v>
      </c>
      <c r="C9" s="2" t="s">
        <v>14</v>
      </c>
    </row>
    <row r="10" spans="1:3" x14ac:dyDescent="0.3">
      <c r="A10" s="7" t="s">
        <v>6</v>
      </c>
      <c r="B10" s="2">
        <v>219.73</v>
      </c>
      <c r="C10" s="2" t="s">
        <v>14</v>
      </c>
    </row>
    <row r="11" spans="1:3" x14ac:dyDescent="0.3">
      <c r="A11" s="7" t="s">
        <v>7</v>
      </c>
      <c r="B11" s="2">
        <v>47.95</v>
      </c>
      <c r="C11" s="2" t="s">
        <v>14</v>
      </c>
    </row>
    <row r="12" spans="1:3" x14ac:dyDescent="0.3">
      <c r="A12" s="7" t="s">
        <v>8</v>
      </c>
      <c r="B12" s="2">
        <v>212.74</v>
      </c>
      <c r="C12" s="2" t="s">
        <v>14</v>
      </c>
    </row>
    <row r="13" spans="1:3" x14ac:dyDescent="0.3">
      <c r="A13" s="7" t="s">
        <v>9</v>
      </c>
      <c r="B13" s="2">
        <v>128.44</v>
      </c>
      <c r="C13" s="2" t="s">
        <v>14</v>
      </c>
    </row>
    <row r="14" spans="1:3" x14ac:dyDescent="0.3">
      <c r="A14" s="7" t="s">
        <v>10</v>
      </c>
      <c r="B14" s="2">
        <v>334.08</v>
      </c>
      <c r="C14" s="2" t="s">
        <v>14</v>
      </c>
    </row>
    <row r="15" spans="1:3" x14ac:dyDescent="0.3">
      <c r="A15" s="7" t="s">
        <v>11</v>
      </c>
      <c r="B15" s="2">
        <v>147.75</v>
      </c>
      <c r="C15" s="2" t="s">
        <v>14</v>
      </c>
    </row>
    <row r="18" spans="1:8" x14ac:dyDescent="0.3">
      <c r="A18" s="1" t="s">
        <v>21</v>
      </c>
    </row>
    <row r="20" spans="1:8" x14ac:dyDescent="0.3">
      <c r="B20" s="2" t="s">
        <v>20</v>
      </c>
      <c r="C20" s="2" t="s">
        <v>13</v>
      </c>
      <c r="D20" s="2" t="s">
        <v>17</v>
      </c>
      <c r="E20" s="2" t="s">
        <v>22</v>
      </c>
      <c r="F20" s="2" t="s">
        <v>18</v>
      </c>
      <c r="G20" s="2" t="s">
        <v>19</v>
      </c>
      <c r="H20" s="11"/>
    </row>
    <row r="21" spans="1:8" x14ac:dyDescent="0.3">
      <c r="A21" s="7" t="s">
        <v>12</v>
      </c>
      <c r="B21" s="2">
        <f>+$B$5/10000</f>
        <v>7.6269999999999992E-3</v>
      </c>
      <c r="C21" s="2">
        <v>0.97</v>
      </c>
      <c r="D21" s="2">
        <v>100</v>
      </c>
      <c r="E21" s="2">
        <v>1</v>
      </c>
      <c r="F21" s="6">
        <f>+B21*C21*D21/360</f>
        <v>2.0550527777777774E-3</v>
      </c>
      <c r="G21" s="6">
        <f>+F21/E21</f>
        <v>2.0550527777777774E-3</v>
      </c>
      <c r="H21" s="12"/>
    </row>
    <row r="22" spans="1:8" x14ac:dyDescent="0.3">
      <c r="A22" s="7" t="s">
        <v>23</v>
      </c>
      <c r="B22" s="2">
        <f>+$B$6/10000</f>
        <v>3.3408E-2</v>
      </c>
      <c r="C22" s="2">
        <v>0.97</v>
      </c>
      <c r="D22" s="2">
        <v>100</v>
      </c>
      <c r="E22" s="2">
        <v>7</v>
      </c>
      <c r="F22" s="6">
        <f t="shared" ref="F22:F31" si="0">+B22*C22*D22/360</f>
        <v>9.0016000000000002E-3</v>
      </c>
      <c r="G22" s="6">
        <f t="shared" ref="G22:G31" si="1">+F22/E22</f>
        <v>1.2859428571428571E-3</v>
      </c>
      <c r="H22" s="12"/>
    </row>
    <row r="23" spans="1:8" x14ac:dyDescent="0.3">
      <c r="A23" s="7" t="s">
        <v>24</v>
      </c>
      <c r="B23" s="2">
        <f>+$B$7/10000</f>
        <v>4.7840000000000001E-3</v>
      </c>
      <c r="C23" s="2">
        <v>0.97</v>
      </c>
      <c r="D23" s="2">
        <v>100</v>
      </c>
      <c r="E23" s="2">
        <v>1</v>
      </c>
      <c r="F23" s="6">
        <f t="shared" si="0"/>
        <v>1.2890222222222221E-3</v>
      </c>
      <c r="G23" s="6">
        <f t="shared" si="1"/>
        <v>1.2890222222222221E-3</v>
      </c>
      <c r="H23" s="12"/>
    </row>
    <row r="24" spans="1:8" x14ac:dyDescent="0.3">
      <c r="A24" s="7" t="s">
        <v>25</v>
      </c>
      <c r="B24" s="2">
        <f>+$B$8/10000</f>
        <v>3.5923999999999998E-2</v>
      </c>
      <c r="C24" s="2">
        <v>0.97</v>
      </c>
      <c r="D24" s="2">
        <v>100</v>
      </c>
      <c r="E24" s="2">
        <v>3</v>
      </c>
      <c r="F24" s="6">
        <f t="shared" si="0"/>
        <v>9.679522222222221E-3</v>
      </c>
      <c r="G24" s="6">
        <f t="shared" si="1"/>
        <v>3.2265074074074068E-3</v>
      </c>
      <c r="H24" s="12"/>
    </row>
    <row r="25" spans="1:8" x14ac:dyDescent="0.3">
      <c r="A25" s="7" t="s">
        <v>26</v>
      </c>
      <c r="B25" s="2">
        <f>+$B$9/10000</f>
        <v>4.2477999999999995E-2</v>
      </c>
      <c r="C25" s="2">
        <v>0.97</v>
      </c>
      <c r="D25" s="2">
        <v>100</v>
      </c>
      <c r="E25" s="2">
        <v>5</v>
      </c>
      <c r="F25" s="6">
        <f t="shared" si="0"/>
        <v>1.144546111111111E-2</v>
      </c>
      <c r="G25" s="6">
        <f t="shared" si="1"/>
        <v>2.2890922222222219E-3</v>
      </c>
      <c r="H25" s="12"/>
    </row>
    <row r="26" spans="1:8" x14ac:dyDescent="0.3">
      <c r="A26" s="7" t="s">
        <v>27</v>
      </c>
      <c r="B26" s="2">
        <f>+$B$10/10000</f>
        <v>2.1972999999999999E-2</v>
      </c>
      <c r="C26" s="2">
        <v>0.97</v>
      </c>
      <c r="D26" s="2">
        <v>100</v>
      </c>
      <c r="E26" s="2">
        <v>5</v>
      </c>
      <c r="F26" s="6">
        <f t="shared" si="0"/>
        <v>5.9205027777777773E-3</v>
      </c>
      <c r="G26" s="6">
        <f t="shared" si="1"/>
        <v>1.1841005555555555E-3</v>
      </c>
      <c r="H26" s="12"/>
    </row>
    <row r="27" spans="1:8" x14ac:dyDescent="0.3">
      <c r="A27" s="7" t="s">
        <v>28</v>
      </c>
      <c r="B27" s="2">
        <f>+$B$11/10000</f>
        <v>4.7950000000000007E-3</v>
      </c>
      <c r="C27" s="2">
        <v>0.97</v>
      </c>
      <c r="D27" s="2">
        <v>100</v>
      </c>
      <c r="E27" s="2">
        <v>1</v>
      </c>
      <c r="F27" s="6">
        <f t="shared" si="0"/>
        <v>1.2919861111111114E-3</v>
      </c>
      <c r="G27" s="6">
        <f t="shared" si="1"/>
        <v>1.2919861111111114E-3</v>
      </c>
      <c r="H27" s="12"/>
    </row>
    <row r="28" spans="1:8" x14ac:dyDescent="0.3">
      <c r="A28" s="7" t="s">
        <v>29</v>
      </c>
      <c r="B28" s="2">
        <f>+$B$12/10000</f>
        <v>2.1274000000000001E-2</v>
      </c>
      <c r="C28" s="2">
        <v>0.97</v>
      </c>
      <c r="D28" s="2">
        <v>100</v>
      </c>
      <c r="E28" s="2">
        <v>5</v>
      </c>
      <c r="F28" s="6">
        <f t="shared" si="0"/>
        <v>5.7321611111111111E-3</v>
      </c>
      <c r="G28" s="6">
        <f t="shared" si="1"/>
        <v>1.1464322222222221E-3</v>
      </c>
      <c r="H28" s="12"/>
    </row>
    <row r="29" spans="1:8" x14ac:dyDescent="0.3">
      <c r="A29" s="7" t="s">
        <v>30</v>
      </c>
      <c r="B29" s="2">
        <f>+$B$13/10000</f>
        <v>1.2844E-2</v>
      </c>
      <c r="C29" s="2">
        <v>0.97</v>
      </c>
      <c r="D29" s="2">
        <v>100</v>
      </c>
      <c r="E29" s="2">
        <v>2</v>
      </c>
      <c r="F29" s="6">
        <f t="shared" si="0"/>
        <v>3.4607444444444443E-3</v>
      </c>
      <c r="G29" s="6">
        <f t="shared" si="1"/>
        <v>1.7303722222222222E-3</v>
      </c>
      <c r="H29" s="12"/>
    </row>
    <row r="30" spans="1:8" x14ac:dyDescent="0.3">
      <c r="A30" s="7" t="s">
        <v>31</v>
      </c>
      <c r="B30" s="2">
        <f>+$B$14/10000</f>
        <v>3.3408E-2</v>
      </c>
      <c r="C30" s="2">
        <v>0.97</v>
      </c>
      <c r="D30" s="2">
        <v>100</v>
      </c>
      <c r="E30" s="2">
        <v>7</v>
      </c>
      <c r="F30" s="6">
        <f t="shared" si="0"/>
        <v>9.0016000000000002E-3</v>
      </c>
      <c r="G30" s="6">
        <f t="shared" si="1"/>
        <v>1.2859428571428571E-3</v>
      </c>
      <c r="H30" s="12"/>
    </row>
    <row r="31" spans="1:8" x14ac:dyDescent="0.3">
      <c r="A31" s="7" t="s">
        <v>32</v>
      </c>
      <c r="B31" s="2">
        <f>+$B$15/10000</f>
        <v>1.4775E-2</v>
      </c>
      <c r="C31" s="2">
        <v>0.97</v>
      </c>
      <c r="D31" s="2">
        <v>100</v>
      </c>
      <c r="E31" s="2">
        <v>2</v>
      </c>
      <c r="F31" s="6">
        <f t="shared" si="0"/>
        <v>3.9810416666666666E-3</v>
      </c>
      <c r="G31" s="6">
        <f t="shared" si="1"/>
        <v>1.9905208333333333E-3</v>
      </c>
      <c r="H31" s="12"/>
    </row>
    <row r="32" spans="1:8" x14ac:dyDescent="0.3">
      <c r="E32" s="30" t="s">
        <v>95</v>
      </c>
      <c r="F32" s="6">
        <f>SUM(F21:F31)</f>
        <v>6.2858694444444446E-2</v>
      </c>
    </row>
    <row r="35" spans="1:13" ht="18" x14ac:dyDescent="0.35">
      <c r="A35" s="10" t="s">
        <v>51</v>
      </c>
      <c r="M35" s="10"/>
    </row>
    <row r="36" spans="1:13" x14ac:dyDescent="0.3">
      <c r="B36" s="2" t="s">
        <v>20</v>
      </c>
      <c r="C36" s="2" t="s">
        <v>13</v>
      </c>
      <c r="D36" s="2" t="s">
        <v>17</v>
      </c>
      <c r="E36" s="2" t="s">
        <v>22</v>
      </c>
      <c r="F36" s="2" t="s">
        <v>18</v>
      </c>
      <c r="G36" s="2" t="s">
        <v>19</v>
      </c>
      <c r="H36" s="11"/>
    </row>
    <row r="37" spans="1:13" x14ac:dyDescent="0.3">
      <c r="A37" s="7" t="s">
        <v>31</v>
      </c>
      <c r="B37" s="2">
        <f>+$B$14/10000</f>
        <v>3.3408E-2</v>
      </c>
      <c r="C37" s="2">
        <v>0.97</v>
      </c>
      <c r="D37" s="2">
        <v>100</v>
      </c>
      <c r="E37" s="2"/>
      <c r="F37" s="6">
        <f t="shared" ref="F37" si="2">+B37*C37*D37/360</f>
        <v>9.0016000000000002E-3</v>
      </c>
      <c r="G37" s="6"/>
      <c r="H37" s="12"/>
    </row>
    <row r="38" spans="1:13" x14ac:dyDescent="0.3">
      <c r="A38" s="2" t="s">
        <v>42</v>
      </c>
      <c r="B38" s="2">
        <f>75.52/10000</f>
        <v>7.5519999999999997E-3</v>
      </c>
      <c r="C38" s="2">
        <v>0.97</v>
      </c>
      <c r="D38" s="2">
        <v>100</v>
      </c>
      <c r="E38" s="19">
        <v>1</v>
      </c>
      <c r="F38" s="6">
        <f>+B38*C38*D38/360</f>
        <v>2.0348444444444444E-3</v>
      </c>
      <c r="G38" s="6"/>
      <c r="H38" s="12"/>
    </row>
    <row r="39" spans="1:13" x14ac:dyDescent="0.3">
      <c r="A39" s="2" t="s">
        <v>53</v>
      </c>
      <c r="B39" s="2">
        <f>80/10000</f>
        <v>8.0000000000000002E-3</v>
      </c>
      <c r="C39" s="2">
        <v>0.97</v>
      </c>
      <c r="D39" s="2">
        <v>100</v>
      </c>
      <c r="E39" s="18"/>
      <c r="F39" s="6">
        <f>+B39*C39*D39/360</f>
        <v>2.1555555555555555E-3</v>
      </c>
      <c r="G39" s="6"/>
      <c r="H39" s="12"/>
    </row>
    <row r="40" spans="1:13" x14ac:dyDescent="0.3">
      <c r="A40" s="11"/>
      <c r="B40" s="11"/>
      <c r="C40" s="11"/>
      <c r="D40" s="11"/>
      <c r="E40" s="11"/>
      <c r="F40" s="12"/>
      <c r="G40" s="12"/>
      <c r="H40" s="12"/>
    </row>
    <row r="41" spans="1:13" x14ac:dyDescent="0.3">
      <c r="F41" s="2" t="s">
        <v>43</v>
      </c>
      <c r="G41" s="6">
        <f>+F37+F38+F39</f>
        <v>1.3191999999999999E-2</v>
      </c>
      <c r="H41" s="12"/>
    </row>
    <row r="42" spans="1:13" x14ac:dyDescent="0.3">
      <c r="A42" s="1" t="s">
        <v>33</v>
      </c>
      <c r="B42" s="1"/>
      <c r="C42" s="1"/>
    </row>
    <row r="43" spans="1:13" x14ac:dyDescent="0.3">
      <c r="A43" s="5" t="s">
        <v>34</v>
      </c>
      <c r="B43" s="14">
        <f>+G41</f>
        <v>1.3191999999999999E-2</v>
      </c>
      <c r="C43" t="s">
        <v>15</v>
      </c>
    </row>
    <row r="44" spans="1:13" x14ac:dyDescent="0.3">
      <c r="A44" s="5" t="s">
        <v>44</v>
      </c>
      <c r="B44" s="7">
        <v>1.2999999999999999E-2</v>
      </c>
    </row>
    <row r="45" spans="1:13" x14ac:dyDescent="0.3">
      <c r="A45" s="5" t="s">
        <v>35</v>
      </c>
      <c r="B45" s="7">
        <v>0</v>
      </c>
    </row>
    <row r="46" spans="1:13" x14ac:dyDescent="0.3">
      <c r="A46" s="5" t="s">
        <v>36</v>
      </c>
      <c r="B46" s="7">
        <v>0.2</v>
      </c>
      <c r="C46" t="s">
        <v>49</v>
      </c>
    </row>
    <row r="47" spans="1:13" x14ac:dyDescent="0.3">
      <c r="A47" s="5" t="s">
        <v>38</v>
      </c>
      <c r="B47" s="7">
        <v>5.0000000000000001E-3</v>
      </c>
      <c r="C47" t="s">
        <v>50</v>
      </c>
    </row>
    <row r="48" spans="1:13" x14ac:dyDescent="0.3">
      <c r="A48" s="5" t="s">
        <v>64</v>
      </c>
      <c r="B48" s="7">
        <v>0.26</v>
      </c>
      <c r="C48" t="s">
        <v>49</v>
      </c>
    </row>
    <row r="50" spans="1:20" x14ac:dyDescent="0.3">
      <c r="A50" s="8" t="s">
        <v>37</v>
      </c>
      <c r="B50" s="2" t="s">
        <v>38</v>
      </c>
      <c r="C50" s="5" t="s">
        <v>39</v>
      </c>
      <c r="D50" s="5" t="s">
        <v>40</v>
      </c>
      <c r="E50" s="5" t="s">
        <v>41</v>
      </c>
      <c r="F50" s="5" t="s">
        <v>34</v>
      </c>
      <c r="G50" s="17" t="s">
        <v>45</v>
      </c>
      <c r="H50" s="8" t="s">
        <v>60</v>
      </c>
      <c r="I50" s="17" t="s">
        <v>61</v>
      </c>
      <c r="J50" s="8" t="s">
        <v>101</v>
      </c>
      <c r="K50" s="8" t="s">
        <v>96</v>
      </c>
    </row>
    <row r="51" spans="1:20" x14ac:dyDescent="0.3">
      <c r="A51" s="9">
        <v>9.6586963791261748E-2</v>
      </c>
      <c r="B51" s="4">
        <f>+B47</f>
        <v>5.0000000000000001E-3</v>
      </c>
      <c r="C51" s="2">
        <f>+A51*B46</f>
        <v>1.9317392758252352E-2</v>
      </c>
      <c r="D51" s="2">
        <f>+B46+2*A51</f>
        <v>0.39317392758252351</v>
      </c>
      <c r="E51" s="2">
        <f>C51/D51</f>
        <v>4.9131927127079943E-2</v>
      </c>
      <c r="F51" s="2">
        <f>C51*(E51^(2/3))*(B51^(1/2))/B44</f>
        <v>1.4095030688819383E-2</v>
      </c>
      <c r="G51" s="31">
        <f>ROUND(A51,4)</f>
        <v>9.6600000000000005E-2</v>
      </c>
      <c r="H51" s="20">
        <f>+ROUND(G51,4)*100</f>
        <v>9.66</v>
      </c>
      <c r="I51" s="2">
        <f>4/5*B48</f>
        <v>0.20800000000000002</v>
      </c>
      <c r="J51" s="9">
        <f>+(B48-G51)*100</f>
        <v>16.34</v>
      </c>
      <c r="K51" s="20">
        <f>+B43/C51</f>
        <v>0.68290789368375826</v>
      </c>
    </row>
    <row r="53" spans="1:20" x14ac:dyDescent="0.3">
      <c r="F53" s="1" t="s">
        <v>62</v>
      </c>
      <c r="G53" s="1"/>
      <c r="H53" s="1"/>
      <c r="I53" s="1" t="str">
        <f>IF(G51&lt;I51,"CUMPLE","NO CUMPLE")</f>
        <v>CUMPLE</v>
      </c>
      <c r="J53" s="1"/>
      <c r="R53" s="1"/>
      <c r="S53" s="1"/>
      <c r="T53" s="1"/>
    </row>
    <row r="54" spans="1:20" x14ac:dyDescent="0.3">
      <c r="A54" s="1"/>
      <c r="F54" s="1" t="s">
        <v>97</v>
      </c>
      <c r="G54" s="1"/>
      <c r="I54" s="1" t="str">
        <f>+IF(K51&lt;3,"CUMPLE","Verificar Ancho")</f>
        <v>CUMPLE</v>
      </c>
      <c r="J54" s="1"/>
    </row>
    <row r="55" spans="1:20" x14ac:dyDescent="0.3">
      <c r="A55" s="1"/>
      <c r="F55" s="1"/>
      <c r="G55" s="1"/>
      <c r="I55" s="1"/>
      <c r="J55" s="1"/>
    </row>
    <row r="56" spans="1:20" x14ac:dyDescent="0.3">
      <c r="A56" s="1"/>
      <c r="F56" s="1"/>
      <c r="G56" s="1"/>
      <c r="I56" s="1"/>
      <c r="J56" s="1"/>
    </row>
    <row r="57" spans="1:20" ht="18" x14ac:dyDescent="0.35">
      <c r="A57" s="37" t="s">
        <v>52</v>
      </c>
    </row>
    <row r="58" spans="1:20" x14ac:dyDescent="0.3">
      <c r="B58" s="2" t="s">
        <v>20</v>
      </c>
      <c r="C58" s="2" t="s">
        <v>13</v>
      </c>
      <c r="D58" s="2" t="s">
        <v>17</v>
      </c>
      <c r="E58" s="2" t="s">
        <v>22</v>
      </c>
      <c r="F58" s="2" t="s">
        <v>18</v>
      </c>
      <c r="G58" s="2" t="s">
        <v>19</v>
      </c>
      <c r="H58" s="11"/>
    </row>
    <row r="59" spans="1:20" x14ac:dyDescent="0.3">
      <c r="A59" s="2" t="s">
        <v>54</v>
      </c>
      <c r="B59" s="47"/>
      <c r="C59" s="48"/>
      <c r="D59" s="48"/>
      <c r="E59" s="49"/>
      <c r="F59" s="6">
        <f>+B43</f>
        <v>1.3191999999999999E-2</v>
      </c>
      <c r="G59" s="2"/>
      <c r="H59" s="11"/>
    </row>
    <row r="60" spans="1:20" x14ac:dyDescent="0.3">
      <c r="A60" s="7" t="s">
        <v>30</v>
      </c>
      <c r="B60" s="2">
        <f>+$B$13/10000</f>
        <v>1.2844E-2</v>
      </c>
      <c r="C60" s="2">
        <v>0.97</v>
      </c>
      <c r="D60" s="2">
        <v>100</v>
      </c>
      <c r="E60" s="2"/>
      <c r="F60" s="6">
        <f t="shared" ref="F60" si="3">+B60*C60*D60/360</f>
        <v>3.4607444444444443E-3</v>
      </c>
      <c r="G60" s="6"/>
      <c r="H60" s="12"/>
    </row>
    <row r="61" spans="1:20" x14ac:dyDescent="0.3">
      <c r="A61" s="2" t="s">
        <v>63</v>
      </c>
      <c r="B61" s="2">
        <f>34/10000</f>
        <v>3.3999999999999998E-3</v>
      </c>
      <c r="C61" s="2">
        <v>0.97</v>
      </c>
      <c r="D61" s="2">
        <v>100</v>
      </c>
      <c r="E61" s="19">
        <v>1</v>
      </c>
      <c r="F61" s="6">
        <f t="shared" ref="F61" si="4">+B61*C61*D61/360</f>
        <v>9.1611111111111103E-4</v>
      </c>
      <c r="G61" s="6"/>
      <c r="H61" s="12"/>
    </row>
    <row r="62" spans="1:20" x14ac:dyDescent="0.3">
      <c r="A62" s="2" t="s">
        <v>55</v>
      </c>
      <c r="B62" s="2">
        <f>31.22/10000</f>
        <v>3.1219999999999998E-3</v>
      </c>
      <c r="C62" s="2">
        <v>0.97</v>
      </c>
      <c r="D62" s="2">
        <v>100</v>
      </c>
      <c r="E62" s="19">
        <v>1</v>
      </c>
      <c r="F62" s="6">
        <f t="shared" ref="F62" si="5">+B62*C62*D62/360</f>
        <v>8.4120555555555537E-4</v>
      </c>
      <c r="G62" s="6"/>
      <c r="H62" s="12"/>
    </row>
    <row r="63" spans="1:20" x14ac:dyDescent="0.3">
      <c r="A63" s="11"/>
      <c r="B63" s="11"/>
      <c r="C63" s="11"/>
      <c r="D63" s="11"/>
      <c r="E63" s="11"/>
      <c r="F63" s="12"/>
      <c r="G63" s="12"/>
      <c r="H63" s="12"/>
    </row>
    <row r="64" spans="1:20" x14ac:dyDescent="0.3">
      <c r="F64" s="2" t="s">
        <v>43</v>
      </c>
      <c r="G64" s="6">
        <f>+F59+F61+F60+F62</f>
        <v>1.8410061111111108E-2</v>
      </c>
      <c r="H64" s="12"/>
    </row>
    <row r="65" spans="1:11" x14ac:dyDescent="0.3">
      <c r="A65" s="1" t="s">
        <v>33</v>
      </c>
      <c r="B65" s="1"/>
      <c r="C65" s="1"/>
    </row>
    <row r="66" spans="1:11" x14ac:dyDescent="0.3">
      <c r="A66" s="5" t="s">
        <v>34</v>
      </c>
      <c r="B66" s="14">
        <f>+G64</f>
        <v>1.8410061111111108E-2</v>
      </c>
      <c r="C66" t="s">
        <v>15</v>
      </c>
    </row>
    <row r="67" spans="1:11" x14ac:dyDescent="0.3">
      <c r="A67" s="5" t="s">
        <v>44</v>
      </c>
      <c r="B67" s="7">
        <v>1.2999999999999999E-2</v>
      </c>
    </row>
    <row r="68" spans="1:11" x14ac:dyDescent="0.3">
      <c r="A68" s="5" t="s">
        <v>35</v>
      </c>
      <c r="B68" s="7">
        <v>0</v>
      </c>
    </row>
    <row r="69" spans="1:11" x14ac:dyDescent="0.3">
      <c r="A69" s="5" t="s">
        <v>36</v>
      </c>
      <c r="B69" s="7">
        <v>0.2</v>
      </c>
      <c r="C69" t="s">
        <v>49</v>
      </c>
    </row>
    <row r="70" spans="1:11" x14ac:dyDescent="0.3">
      <c r="A70" s="5" t="s">
        <v>38</v>
      </c>
      <c r="B70" s="7">
        <v>0.05</v>
      </c>
      <c r="C70" t="s">
        <v>50</v>
      </c>
    </row>
    <row r="71" spans="1:11" x14ac:dyDescent="0.3">
      <c r="A71" s="5" t="s">
        <v>64</v>
      </c>
      <c r="B71" s="7">
        <v>0.28999999999999998</v>
      </c>
      <c r="C71" t="s">
        <v>49</v>
      </c>
      <c r="G71" s="13"/>
      <c r="H71" s="13"/>
    </row>
    <row r="73" spans="1:11" x14ac:dyDescent="0.3">
      <c r="A73" s="8" t="s">
        <v>37</v>
      </c>
      <c r="B73" s="2" t="s">
        <v>38</v>
      </c>
      <c r="C73" s="5" t="s">
        <v>39</v>
      </c>
      <c r="D73" s="5" t="s">
        <v>40</v>
      </c>
      <c r="E73" s="5" t="s">
        <v>41</v>
      </c>
      <c r="F73" s="5" t="s">
        <v>34</v>
      </c>
      <c r="G73" s="17" t="s">
        <v>45</v>
      </c>
      <c r="H73" s="8" t="s">
        <v>60</v>
      </c>
      <c r="I73" s="17" t="s">
        <v>46</v>
      </c>
      <c r="J73" s="8" t="s">
        <v>101</v>
      </c>
      <c r="K73" s="8" t="s">
        <v>96</v>
      </c>
    </row>
    <row r="74" spans="1:11" x14ac:dyDescent="0.3">
      <c r="A74" s="9">
        <v>5.1479145397228192E-2</v>
      </c>
      <c r="B74" s="4">
        <f>+B70</f>
        <v>0.05</v>
      </c>
      <c r="C74" s="2">
        <f>+A74*B69</f>
        <v>1.0295829079445639E-2</v>
      </c>
      <c r="D74" s="2">
        <f>+B69+2*A74</f>
        <v>0.30295829079445641</v>
      </c>
      <c r="E74" s="2">
        <f>C74/D74</f>
        <v>3.3984312006931992E-2</v>
      </c>
      <c r="F74" s="2">
        <f>C74*(E74^(2/3))*(B74^(1/2))/B67</f>
        <v>1.8580410112788551E-2</v>
      </c>
      <c r="G74" s="31">
        <f>ROUND(A74,2)</f>
        <v>0.05</v>
      </c>
      <c r="H74" s="20">
        <f>+ROUND(G74,4)*100</f>
        <v>5</v>
      </c>
      <c r="I74" s="2">
        <f>4/5*B71</f>
        <v>0.23199999999999998</v>
      </c>
      <c r="J74" s="9">
        <f>+(B71-G74)*100</f>
        <v>24</v>
      </c>
      <c r="K74" s="20">
        <f>+B66/C74</f>
        <v>1.7881086573071168</v>
      </c>
    </row>
    <row r="76" spans="1:11" x14ac:dyDescent="0.3">
      <c r="F76" s="1" t="s">
        <v>47</v>
      </c>
      <c r="G76" s="1"/>
      <c r="H76" s="1"/>
      <c r="I76" s="1" t="str">
        <f>IF(G74&lt;I74,"CUMPLE","NO CUMPLE")</f>
        <v>CUMPLE</v>
      </c>
      <c r="J76" s="1"/>
    </row>
    <row r="77" spans="1:11" x14ac:dyDescent="0.3">
      <c r="F77" s="1" t="s">
        <v>97</v>
      </c>
      <c r="G77" s="1"/>
      <c r="I77" s="1" t="str">
        <f>+IF(K74&lt;3,"CUMPLE","Verificar Ancho")</f>
        <v>CUMPLE</v>
      </c>
      <c r="J77" s="1"/>
    </row>
    <row r="78" spans="1:11" x14ac:dyDescent="0.3">
      <c r="F78" s="1"/>
      <c r="G78" s="1"/>
      <c r="I78" s="1"/>
      <c r="J78" s="1"/>
    </row>
    <row r="79" spans="1:11" x14ac:dyDescent="0.3">
      <c r="F79" s="1"/>
      <c r="G79" s="1"/>
      <c r="I79" s="1"/>
      <c r="J79" s="1"/>
    </row>
    <row r="80" spans="1:11" ht="18" x14ac:dyDescent="0.35">
      <c r="A80" s="26" t="s">
        <v>119</v>
      </c>
    </row>
    <row r="81" spans="1:11" x14ac:dyDescent="0.3">
      <c r="B81" s="2" t="s">
        <v>20</v>
      </c>
      <c r="C81" s="2" t="s">
        <v>13</v>
      </c>
      <c r="D81" s="2" t="s">
        <v>17</v>
      </c>
      <c r="E81" s="2" t="s">
        <v>22</v>
      </c>
      <c r="F81" s="2" t="s">
        <v>18</v>
      </c>
      <c r="G81" s="2" t="s">
        <v>19</v>
      </c>
      <c r="H81" s="11"/>
    </row>
    <row r="82" spans="1:11" x14ac:dyDescent="0.3">
      <c r="A82" s="2" t="s">
        <v>125</v>
      </c>
      <c r="B82" s="2">
        <f>110*1.25/10000</f>
        <v>1.375E-2</v>
      </c>
      <c r="C82" s="2">
        <v>0.97</v>
      </c>
      <c r="D82" s="2">
        <v>100</v>
      </c>
      <c r="E82" s="19">
        <v>1</v>
      </c>
      <c r="F82" s="6">
        <f t="shared" ref="F82" si="6">+B82*C82*D82/360</f>
        <v>3.704861111111111E-3</v>
      </c>
      <c r="G82" s="6"/>
      <c r="H82" s="12"/>
    </row>
    <row r="83" spans="1:11" x14ac:dyDescent="0.3">
      <c r="A83" s="11"/>
      <c r="B83" s="11"/>
      <c r="C83" s="11"/>
      <c r="D83" s="11"/>
      <c r="E83" s="11"/>
      <c r="F83" s="12"/>
      <c r="G83" s="12"/>
      <c r="H83" s="12"/>
    </row>
    <row r="84" spans="1:11" s="34" customFormat="1" x14ac:dyDescent="0.3">
      <c r="F84" s="4" t="s">
        <v>43</v>
      </c>
      <c r="G84" s="43">
        <f>+F82</f>
        <v>3.704861111111111E-3</v>
      </c>
      <c r="H84" s="44"/>
    </row>
    <row r="85" spans="1:11" x14ac:dyDescent="0.3">
      <c r="A85" s="1" t="s">
        <v>33</v>
      </c>
      <c r="B85" s="1"/>
      <c r="C85" s="1"/>
    </row>
    <row r="86" spans="1:11" x14ac:dyDescent="0.3">
      <c r="A86" s="5" t="s">
        <v>34</v>
      </c>
      <c r="B86" s="14">
        <f>+G84</f>
        <v>3.704861111111111E-3</v>
      </c>
      <c r="C86" t="s">
        <v>15</v>
      </c>
    </row>
    <row r="87" spans="1:11" x14ac:dyDescent="0.3">
      <c r="A87" s="5" t="s">
        <v>44</v>
      </c>
      <c r="B87" s="7">
        <v>1.2999999999999999E-2</v>
      </c>
    </row>
    <row r="88" spans="1:11" x14ac:dyDescent="0.3">
      <c r="A88" s="5" t="s">
        <v>35</v>
      </c>
      <c r="B88" s="7">
        <v>0</v>
      </c>
    </row>
    <row r="89" spans="1:11" x14ac:dyDescent="0.3">
      <c r="A89" s="5" t="s">
        <v>36</v>
      </c>
      <c r="B89" s="7">
        <v>0.3</v>
      </c>
      <c r="C89" t="s">
        <v>49</v>
      </c>
    </row>
    <row r="90" spans="1:11" x14ac:dyDescent="0.3">
      <c r="A90" s="5" t="s">
        <v>38</v>
      </c>
      <c r="B90" s="7">
        <v>0.01</v>
      </c>
      <c r="C90" t="s">
        <v>50</v>
      </c>
    </row>
    <row r="91" spans="1:11" x14ac:dyDescent="0.3">
      <c r="A91" s="5" t="s">
        <v>64</v>
      </c>
      <c r="B91" s="7">
        <v>0.36</v>
      </c>
      <c r="C91" t="s">
        <v>49</v>
      </c>
      <c r="G91" s="13"/>
      <c r="H91" s="13"/>
    </row>
    <row r="93" spans="1:11" x14ac:dyDescent="0.3">
      <c r="A93" s="8" t="s">
        <v>37</v>
      </c>
      <c r="B93" s="2" t="s">
        <v>38</v>
      </c>
      <c r="C93" s="5" t="s">
        <v>39</v>
      </c>
      <c r="D93" s="5" t="s">
        <v>40</v>
      </c>
      <c r="E93" s="5" t="s">
        <v>41</v>
      </c>
      <c r="F93" s="5" t="s">
        <v>34</v>
      </c>
      <c r="G93" s="17" t="s">
        <v>45</v>
      </c>
      <c r="H93" s="8" t="s">
        <v>60</v>
      </c>
      <c r="I93" s="17" t="s">
        <v>46</v>
      </c>
      <c r="J93" s="8" t="s">
        <v>101</v>
      </c>
      <c r="K93" s="8" t="s">
        <v>96</v>
      </c>
    </row>
    <row r="94" spans="1:11" x14ac:dyDescent="0.3">
      <c r="A94" s="9">
        <v>2.468217059011461E-2</v>
      </c>
      <c r="B94" s="4">
        <f>+B90</f>
        <v>0.01</v>
      </c>
      <c r="C94" s="2">
        <f>+A94*B89</f>
        <v>7.4046511770343828E-3</v>
      </c>
      <c r="D94" s="2">
        <f>+B89+2*A94</f>
        <v>0.34936434118022919</v>
      </c>
      <c r="E94" s="2">
        <f>C94/D94</f>
        <v>2.1194639246867184E-2</v>
      </c>
      <c r="F94" s="2">
        <f>C94*(E94^(2/3))*(B94^(1/2))/B87</f>
        <v>4.3622639276745569E-3</v>
      </c>
      <c r="G94" s="31">
        <f>ROUND(A94,2)</f>
        <v>0.02</v>
      </c>
      <c r="H94" s="20">
        <f>+ROUND(G94,4)*100</f>
        <v>2</v>
      </c>
      <c r="I94" s="2">
        <f>4/5*B91</f>
        <v>0.28799999999999998</v>
      </c>
      <c r="J94" s="9">
        <f>+(B91-G94)*100</f>
        <v>34</v>
      </c>
      <c r="K94" s="20">
        <f>+B86/C94</f>
        <v>0.50034242296271614</v>
      </c>
    </row>
    <row r="96" spans="1:11" x14ac:dyDescent="0.3">
      <c r="F96" s="1" t="s">
        <v>47</v>
      </c>
      <c r="G96" s="1"/>
      <c r="H96" s="1"/>
      <c r="I96" s="1" t="str">
        <f>IF(G94&lt;I94,"CUMPLE","NO CUMPLE")</f>
        <v>CUMPLE</v>
      </c>
      <c r="J96" s="1"/>
    </row>
    <row r="97" spans="1:10" x14ac:dyDescent="0.3">
      <c r="F97" s="1" t="s">
        <v>97</v>
      </c>
      <c r="G97" s="1"/>
      <c r="I97" s="1" t="str">
        <f>+IF(K94&lt;3,"CUMPLE","Verificar Ancho")</f>
        <v>CUMPLE</v>
      </c>
      <c r="J97" s="1"/>
    </row>
    <row r="98" spans="1:10" x14ac:dyDescent="0.3">
      <c r="F98" s="1"/>
      <c r="G98" s="1"/>
      <c r="I98" s="1"/>
      <c r="J98" s="1"/>
    </row>
    <row r="99" spans="1:10" x14ac:dyDescent="0.3">
      <c r="F99" s="1"/>
      <c r="G99" s="1"/>
      <c r="H99" s="1"/>
      <c r="I99" s="1"/>
      <c r="J99" s="1"/>
    </row>
    <row r="100" spans="1:10" ht="18" x14ac:dyDescent="0.35">
      <c r="A100" s="26" t="s">
        <v>120</v>
      </c>
    </row>
    <row r="101" spans="1:10" x14ac:dyDescent="0.3">
      <c r="B101" s="2" t="s">
        <v>20</v>
      </c>
      <c r="C101" s="2" t="s">
        <v>13</v>
      </c>
      <c r="D101" s="2" t="s">
        <v>17</v>
      </c>
      <c r="E101" s="2" t="s">
        <v>22</v>
      </c>
      <c r="F101" s="2" t="s">
        <v>18</v>
      </c>
      <c r="G101" s="2" t="s">
        <v>19</v>
      </c>
      <c r="H101" s="11"/>
    </row>
    <row r="102" spans="1:10" x14ac:dyDescent="0.3">
      <c r="A102" s="2" t="s">
        <v>126</v>
      </c>
      <c r="B102" s="2">
        <f>76*1.25/10000</f>
        <v>9.4999999999999998E-3</v>
      </c>
      <c r="C102" s="2">
        <v>0.97</v>
      </c>
      <c r="D102" s="2">
        <v>100</v>
      </c>
      <c r="E102" s="19">
        <v>1</v>
      </c>
      <c r="F102" s="6">
        <f t="shared" ref="F102" si="7">+B102*C102*D102/360</f>
        <v>2.5597222222222219E-3</v>
      </c>
      <c r="G102" s="6"/>
      <c r="H102" s="12"/>
    </row>
    <row r="103" spans="1:10" x14ac:dyDescent="0.3">
      <c r="A103" s="11"/>
      <c r="B103" s="11"/>
      <c r="C103" s="11"/>
      <c r="D103" s="11"/>
      <c r="E103" s="11"/>
      <c r="F103" s="12"/>
      <c r="G103" s="12"/>
      <c r="H103" s="12"/>
    </row>
    <row r="104" spans="1:10" s="34" customFormat="1" x14ac:dyDescent="0.3">
      <c r="F104" s="4" t="s">
        <v>43</v>
      </c>
      <c r="G104" s="43">
        <f>+F102</f>
        <v>2.5597222222222219E-3</v>
      </c>
      <c r="H104" s="44"/>
    </row>
    <row r="105" spans="1:10" x14ac:dyDescent="0.3">
      <c r="A105" s="1" t="s">
        <v>33</v>
      </c>
      <c r="B105" s="1"/>
      <c r="C105" s="1"/>
    </row>
    <row r="106" spans="1:10" x14ac:dyDescent="0.3">
      <c r="A106" s="5" t="s">
        <v>34</v>
      </c>
      <c r="B106" s="14">
        <f>+G104</f>
        <v>2.5597222222222219E-3</v>
      </c>
      <c r="C106" t="s">
        <v>15</v>
      </c>
    </row>
    <row r="107" spans="1:10" x14ac:dyDescent="0.3">
      <c r="A107" s="5" t="s">
        <v>44</v>
      </c>
      <c r="B107" s="7">
        <v>1.2999999999999999E-2</v>
      </c>
    </row>
    <row r="108" spans="1:10" x14ac:dyDescent="0.3">
      <c r="A108" s="5" t="s">
        <v>35</v>
      </c>
      <c r="B108" s="7">
        <v>0</v>
      </c>
    </row>
    <row r="109" spans="1:10" x14ac:dyDescent="0.3">
      <c r="A109" s="5" t="s">
        <v>36</v>
      </c>
      <c r="B109" s="7">
        <v>0.3</v>
      </c>
      <c r="C109" t="s">
        <v>49</v>
      </c>
    </row>
    <row r="110" spans="1:10" x14ac:dyDescent="0.3">
      <c r="A110" s="5" t="s">
        <v>38</v>
      </c>
      <c r="B110" s="7">
        <v>0.01</v>
      </c>
      <c r="C110" t="s">
        <v>50</v>
      </c>
    </row>
    <row r="111" spans="1:10" x14ac:dyDescent="0.3">
      <c r="A111" s="5" t="s">
        <v>64</v>
      </c>
      <c r="B111" s="7">
        <v>0.36</v>
      </c>
      <c r="C111" t="s">
        <v>49</v>
      </c>
      <c r="G111" s="13"/>
      <c r="H111" s="13"/>
    </row>
    <row r="113" spans="1:11" x14ac:dyDescent="0.3">
      <c r="A113" s="8" t="s">
        <v>37</v>
      </c>
      <c r="B113" s="2" t="s">
        <v>38</v>
      </c>
      <c r="C113" s="5" t="s">
        <v>39</v>
      </c>
      <c r="D113" s="5" t="s">
        <v>40</v>
      </c>
      <c r="E113" s="5" t="s">
        <v>41</v>
      </c>
      <c r="F113" s="5" t="s">
        <v>34</v>
      </c>
      <c r="G113" s="17" t="s">
        <v>45</v>
      </c>
      <c r="H113" s="8" t="s">
        <v>60</v>
      </c>
      <c r="I113" s="17" t="s">
        <v>46</v>
      </c>
      <c r="J113" s="8" t="s">
        <v>101</v>
      </c>
      <c r="K113" s="8" t="s">
        <v>96</v>
      </c>
    </row>
    <row r="114" spans="1:11" x14ac:dyDescent="0.3">
      <c r="A114" s="9">
        <v>1.9135615401324808E-2</v>
      </c>
      <c r="B114" s="4">
        <f>+B110</f>
        <v>0.01</v>
      </c>
      <c r="C114" s="2">
        <f>+A114*B109</f>
        <v>5.740684620397442E-3</v>
      </c>
      <c r="D114" s="2">
        <f>+B109+2*A114</f>
        <v>0.33827123080264959</v>
      </c>
      <c r="E114" s="2">
        <f>C114/D114</f>
        <v>1.6970655786411253E-2</v>
      </c>
      <c r="F114" s="2">
        <f>C114*(E114^(2/3))*(B114^(1/2))/B107</f>
        <v>2.9162141930273422E-3</v>
      </c>
      <c r="G114" s="31">
        <f>ROUND(A114,2)</f>
        <v>0.02</v>
      </c>
      <c r="H114" s="20">
        <f>+ROUND(G114,4)*100</f>
        <v>2</v>
      </c>
      <c r="I114" s="2">
        <f>4/5*B111</f>
        <v>0.28799999999999998</v>
      </c>
      <c r="J114" s="9">
        <f>+(B111-G114)*100</f>
        <v>34</v>
      </c>
      <c r="K114" s="20">
        <f>+B106/C114</f>
        <v>0.44589145572066036</v>
      </c>
    </row>
    <row r="116" spans="1:11" x14ac:dyDescent="0.3">
      <c r="F116" s="1" t="s">
        <v>47</v>
      </c>
      <c r="G116" s="1"/>
      <c r="H116" s="1"/>
      <c r="I116" s="1" t="str">
        <f>IF(G114&lt;I114,"CUMPLE","NO CUMPLE")</f>
        <v>CUMPLE</v>
      </c>
      <c r="J116" s="1"/>
    </row>
    <row r="117" spans="1:11" x14ac:dyDescent="0.3">
      <c r="F117" s="1" t="s">
        <v>97</v>
      </c>
      <c r="G117" s="1"/>
      <c r="I117" s="1" t="str">
        <f>+IF(K114&lt;3,"CUMPLE","Verificar Ancho")</f>
        <v>CUMPLE</v>
      </c>
      <c r="J117" s="1"/>
    </row>
    <row r="119" spans="1:11" ht="18" x14ac:dyDescent="0.35">
      <c r="A119" s="26" t="s">
        <v>121</v>
      </c>
    </row>
    <row r="120" spans="1:11" x14ac:dyDescent="0.3">
      <c r="B120" s="2" t="s">
        <v>20</v>
      </c>
      <c r="C120" s="2" t="s">
        <v>13</v>
      </c>
      <c r="D120" s="2" t="s">
        <v>17</v>
      </c>
      <c r="E120" s="2" t="s">
        <v>22</v>
      </c>
      <c r="F120" s="2" t="s">
        <v>18</v>
      </c>
      <c r="G120" s="2" t="s">
        <v>19</v>
      </c>
      <c r="H120" s="11"/>
    </row>
    <row r="121" spans="1:11" x14ac:dyDescent="0.3">
      <c r="A121" s="2" t="s">
        <v>54</v>
      </c>
      <c r="B121" s="47"/>
      <c r="C121" s="48"/>
      <c r="D121" s="48"/>
      <c r="E121" s="49"/>
      <c r="F121" s="6">
        <f>+B86+B106</f>
        <v>6.2645833333333329E-3</v>
      </c>
      <c r="G121" s="2"/>
      <c r="H121" s="11"/>
    </row>
    <row r="122" spans="1:11" x14ac:dyDescent="0.3">
      <c r="A122" s="7" t="s">
        <v>28</v>
      </c>
      <c r="B122" s="2">
        <f>+$B$11/10000</f>
        <v>4.7950000000000007E-3</v>
      </c>
      <c r="C122" s="2">
        <v>0.97</v>
      </c>
      <c r="D122" s="2">
        <v>100</v>
      </c>
      <c r="E122" s="2"/>
      <c r="F122" s="6">
        <f t="shared" ref="F122:F123" si="8">+B122*C122*D122/360</f>
        <v>1.2919861111111114E-3</v>
      </c>
      <c r="G122" s="6"/>
      <c r="H122" s="12"/>
    </row>
    <row r="123" spans="1:11" x14ac:dyDescent="0.3">
      <c r="A123" s="7" t="s">
        <v>29</v>
      </c>
      <c r="B123" s="2">
        <f>+$B$12/10000</f>
        <v>2.1274000000000001E-2</v>
      </c>
      <c r="C123" s="2">
        <v>0.97</v>
      </c>
      <c r="D123" s="2">
        <v>100</v>
      </c>
      <c r="E123" s="2"/>
      <c r="F123" s="6">
        <f t="shared" si="8"/>
        <v>5.7321611111111111E-3</v>
      </c>
      <c r="G123" s="6"/>
      <c r="H123" s="12"/>
    </row>
    <row r="124" spans="1:11" x14ac:dyDescent="0.3">
      <c r="A124" s="2" t="s">
        <v>91</v>
      </c>
      <c r="B124" s="2">
        <f>(32+13)/10000</f>
        <v>4.4999999999999997E-3</v>
      </c>
      <c r="C124" s="2">
        <v>0.97</v>
      </c>
      <c r="D124" s="2">
        <v>100</v>
      </c>
      <c r="E124" s="19">
        <v>1</v>
      </c>
      <c r="F124" s="6">
        <f t="shared" ref="F124" si="9">+B124*C124*D124/360</f>
        <v>1.2125E-3</v>
      </c>
      <c r="G124" s="6"/>
      <c r="H124" s="12"/>
    </row>
    <row r="125" spans="1:11" x14ac:dyDescent="0.3">
      <c r="A125" s="11"/>
      <c r="B125" s="11"/>
      <c r="C125" s="11"/>
      <c r="D125" s="11"/>
      <c r="E125" s="11"/>
      <c r="F125" s="12"/>
      <c r="G125" s="12"/>
      <c r="H125" s="12"/>
    </row>
    <row r="126" spans="1:11" x14ac:dyDescent="0.3">
      <c r="F126" s="2" t="s">
        <v>43</v>
      </c>
      <c r="G126" s="6">
        <f>+F121+F122+F123+F124</f>
        <v>1.4501230555555555E-2</v>
      </c>
      <c r="H126" s="12"/>
    </row>
    <row r="127" spans="1:11" x14ac:dyDescent="0.3">
      <c r="A127" s="1" t="s">
        <v>33</v>
      </c>
      <c r="B127" s="1"/>
      <c r="C127" s="1"/>
    </row>
    <row r="128" spans="1:11" x14ac:dyDescent="0.3">
      <c r="A128" s="5" t="s">
        <v>34</v>
      </c>
      <c r="B128" s="14">
        <f>+G126</f>
        <v>1.4501230555555555E-2</v>
      </c>
      <c r="C128" t="s">
        <v>15</v>
      </c>
    </row>
    <row r="129" spans="1:11" x14ac:dyDescent="0.3">
      <c r="A129" s="5" t="s">
        <v>44</v>
      </c>
      <c r="B129" s="7">
        <v>1.2999999999999999E-2</v>
      </c>
    </row>
    <row r="130" spans="1:11" x14ac:dyDescent="0.3">
      <c r="A130" s="5" t="s">
        <v>35</v>
      </c>
      <c r="B130" s="7">
        <v>0</v>
      </c>
    </row>
    <row r="131" spans="1:11" x14ac:dyDescent="0.3">
      <c r="A131" s="5" t="s">
        <v>36</v>
      </c>
      <c r="B131" s="7">
        <v>0.2</v>
      </c>
      <c r="C131" t="s">
        <v>49</v>
      </c>
    </row>
    <row r="132" spans="1:11" x14ac:dyDescent="0.3">
      <c r="A132" s="5" t="s">
        <v>38</v>
      </c>
      <c r="B132" s="7">
        <v>0.01</v>
      </c>
      <c r="C132" t="s">
        <v>50</v>
      </c>
    </row>
    <row r="133" spans="1:11" x14ac:dyDescent="0.3">
      <c r="A133" s="5" t="s">
        <v>64</v>
      </c>
      <c r="B133" s="7">
        <v>0.25</v>
      </c>
      <c r="C133" t="s">
        <v>49</v>
      </c>
      <c r="G133" s="13"/>
      <c r="H133" s="13"/>
    </row>
    <row r="135" spans="1:11" x14ac:dyDescent="0.3">
      <c r="A135" s="8" t="s">
        <v>37</v>
      </c>
      <c r="B135" s="2" t="s">
        <v>38</v>
      </c>
      <c r="C135" s="5" t="s">
        <v>39</v>
      </c>
      <c r="D135" s="5" t="s">
        <v>40</v>
      </c>
      <c r="E135" s="5" t="s">
        <v>41</v>
      </c>
      <c r="F135" s="5" t="s">
        <v>34</v>
      </c>
      <c r="G135" s="17" t="s">
        <v>45</v>
      </c>
      <c r="H135" s="8" t="s">
        <v>60</v>
      </c>
      <c r="I135" s="17" t="s">
        <v>46</v>
      </c>
      <c r="J135" s="8" t="s">
        <v>101</v>
      </c>
      <c r="K135" s="8" t="s">
        <v>96</v>
      </c>
    </row>
    <row r="136" spans="1:11" x14ac:dyDescent="0.3">
      <c r="A136" s="9">
        <v>7.6505546638983596E-2</v>
      </c>
      <c r="B136" s="4">
        <f>+B132</f>
        <v>0.01</v>
      </c>
      <c r="C136" s="2">
        <f>+A136*B131</f>
        <v>1.5301109327796721E-2</v>
      </c>
      <c r="D136" s="2">
        <f>+B131+2*A136</f>
        <v>0.3530110932779672</v>
      </c>
      <c r="E136" s="2">
        <f>C136/D136</f>
        <v>4.3344556641874012E-2</v>
      </c>
      <c r="F136" s="2">
        <f>C136*(E136^(2/3))*(B136^(1/2))/B129</f>
        <v>1.4523432678876902E-2</v>
      </c>
      <c r="G136" s="31">
        <f>ROUND(A136,2)</f>
        <v>0.08</v>
      </c>
      <c r="H136" s="20">
        <f>+ROUND(G136,4)*100</f>
        <v>8</v>
      </c>
      <c r="I136" s="2">
        <f>4/5*B133</f>
        <v>0.2</v>
      </c>
      <c r="J136" s="9">
        <f>+(B133-G136)*100</f>
        <v>17</v>
      </c>
      <c r="K136" s="20">
        <f>+B128/C136</f>
        <v>0.94772413194982752</v>
      </c>
    </row>
    <row r="138" spans="1:11" x14ac:dyDescent="0.3">
      <c r="F138" s="1" t="s">
        <v>47</v>
      </c>
      <c r="G138" s="1"/>
      <c r="H138" s="1"/>
      <c r="I138" s="1" t="str">
        <f>IF(G136&lt;I136,"CUMPLE","NO CUMPLE")</f>
        <v>CUMPLE</v>
      </c>
      <c r="J138" s="1"/>
    </row>
    <row r="139" spans="1:11" x14ac:dyDescent="0.3">
      <c r="F139" s="1" t="s">
        <v>97</v>
      </c>
      <c r="G139" s="1"/>
      <c r="I139" s="1" t="str">
        <f>+IF(K136&lt;3,"CUMPLE","Verificar Ancho")</f>
        <v>CUMPLE</v>
      </c>
      <c r="J139" s="1"/>
    </row>
    <row r="140" spans="1:11" x14ac:dyDescent="0.3">
      <c r="F140" s="1"/>
      <c r="G140" s="1"/>
      <c r="H140" s="1"/>
      <c r="I140" s="1"/>
      <c r="J140" s="1"/>
    </row>
    <row r="141" spans="1:11" x14ac:dyDescent="0.3">
      <c r="F141" s="1"/>
      <c r="G141" s="1"/>
      <c r="H141" s="1"/>
      <c r="I141" s="1"/>
      <c r="J141" s="1"/>
    </row>
    <row r="142" spans="1:11" ht="18" x14ac:dyDescent="0.35">
      <c r="A142" s="37" t="s">
        <v>122</v>
      </c>
    </row>
    <row r="143" spans="1:11" x14ac:dyDescent="0.3">
      <c r="B143" s="2" t="s">
        <v>20</v>
      </c>
      <c r="C143" s="2" t="s">
        <v>13</v>
      </c>
      <c r="D143" s="2" t="s">
        <v>17</v>
      </c>
      <c r="E143" s="2" t="s">
        <v>22</v>
      </c>
      <c r="F143" s="2" t="s">
        <v>18</v>
      </c>
      <c r="G143" s="2" t="s">
        <v>19</v>
      </c>
      <c r="H143" s="11"/>
    </row>
    <row r="144" spans="1:11" x14ac:dyDescent="0.3">
      <c r="A144" s="2" t="s">
        <v>54</v>
      </c>
      <c r="B144" s="47"/>
      <c r="C144" s="48"/>
      <c r="D144" s="48"/>
      <c r="E144" s="49"/>
      <c r="F144" s="6">
        <f>+B128</f>
        <v>1.4501230555555555E-2</v>
      </c>
      <c r="G144" s="2"/>
      <c r="H144" s="11"/>
    </row>
    <row r="145" spans="1:10" x14ac:dyDescent="0.3">
      <c r="A145" s="11"/>
      <c r="B145" s="11"/>
      <c r="C145" s="11"/>
      <c r="D145" s="11"/>
      <c r="E145" s="11"/>
      <c r="F145" s="12"/>
      <c r="G145" s="12"/>
      <c r="H145" s="12"/>
    </row>
    <row r="146" spans="1:10" x14ac:dyDescent="0.3">
      <c r="F146" s="2" t="s">
        <v>43</v>
      </c>
      <c r="G146" s="6">
        <f>+F144</f>
        <v>1.4501230555555555E-2</v>
      </c>
      <c r="H146" s="12"/>
    </row>
    <row r="147" spans="1:10" x14ac:dyDescent="0.3">
      <c r="A147" s="1" t="s">
        <v>71</v>
      </c>
      <c r="B147" s="1"/>
      <c r="C147" s="1"/>
    </row>
    <row r="148" spans="1:10" x14ac:dyDescent="0.3">
      <c r="A148" s="5" t="s">
        <v>66</v>
      </c>
      <c r="B148" s="14">
        <f>+G146</f>
        <v>1.4501230555555555E-2</v>
      </c>
      <c r="C148" t="s">
        <v>15</v>
      </c>
    </row>
    <row r="149" spans="1:10" x14ac:dyDescent="0.3">
      <c r="A149" s="5" t="s">
        <v>56</v>
      </c>
      <c r="B149" s="7">
        <v>0.01</v>
      </c>
    </row>
    <row r="150" spans="1:10" ht="18" x14ac:dyDescent="0.35">
      <c r="A150" s="21" t="s">
        <v>68</v>
      </c>
      <c r="B150" s="15">
        <f>300*PI()/180</f>
        <v>5.2359877559829888</v>
      </c>
      <c r="C150" t="s">
        <v>58</v>
      </c>
    </row>
    <row r="151" spans="1:10" x14ac:dyDescent="0.3">
      <c r="A151" s="5" t="s">
        <v>38</v>
      </c>
      <c r="B151" s="7">
        <v>5.0000000000000001E-3</v>
      </c>
      <c r="C151" t="s">
        <v>50</v>
      </c>
    </row>
    <row r="152" spans="1:10" x14ac:dyDescent="0.3">
      <c r="A152" s="23" t="s">
        <v>57</v>
      </c>
      <c r="B152" s="22">
        <v>6</v>
      </c>
      <c r="C152" t="s">
        <v>65</v>
      </c>
      <c r="G152" s="13"/>
      <c r="H152" s="13"/>
    </row>
    <row r="154" spans="1:10" x14ac:dyDescent="0.3">
      <c r="A154" s="8" t="s">
        <v>57</v>
      </c>
      <c r="B154" s="2" t="s">
        <v>38</v>
      </c>
      <c r="C154" s="5" t="s">
        <v>39</v>
      </c>
      <c r="D154" s="5" t="s">
        <v>40</v>
      </c>
      <c r="E154" s="5" t="s">
        <v>41</v>
      </c>
      <c r="F154" s="8" t="s">
        <v>99</v>
      </c>
      <c r="G154" s="8" t="s">
        <v>96</v>
      </c>
    </row>
    <row r="155" spans="1:10" x14ac:dyDescent="0.3">
      <c r="A155" s="9">
        <f>+B152*0.0254</f>
        <v>0.15239999999999998</v>
      </c>
      <c r="B155" s="2">
        <f>+B151</f>
        <v>5.0000000000000001E-3</v>
      </c>
      <c r="C155" s="4">
        <f>+((B150-SIN(B150))*(A155)^2)/8</f>
        <v>1.7715486645699986E-2</v>
      </c>
      <c r="D155" s="2">
        <f>+B150*A155/2</f>
        <v>0.39898226700590367</v>
      </c>
      <c r="E155" s="2">
        <f>(1-SIN(B150)/B150)*(A155)/4</f>
        <v>4.4401689274671079E-2</v>
      </c>
      <c r="F155" s="9">
        <f>C155*(E155^(2/3))*(B155^(1/2))/B149</f>
        <v>1.5707404139916697E-2</v>
      </c>
      <c r="G155" s="20">
        <f>+B148/C155</f>
        <v>0.81856235990420201</v>
      </c>
    </row>
    <row r="157" spans="1:10" x14ac:dyDescent="0.3">
      <c r="C157" s="1" t="s">
        <v>100</v>
      </c>
      <c r="D157" s="1"/>
      <c r="F157" s="1" t="str">
        <f>+IF(B148&lt;F155,"CUMPLE","NO CUMPLE")</f>
        <v>CUMPLE</v>
      </c>
      <c r="G157" s="1"/>
      <c r="H157" s="1"/>
      <c r="I157" s="1"/>
      <c r="J157" s="1"/>
    </row>
    <row r="158" spans="1:10" x14ac:dyDescent="0.3">
      <c r="C158" s="1" t="s">
        <v>98</v>
      </c>
      <c r="D158" s="1"/>
      <c r="F158" s="1" t="str">
        <f>+IF(G155&lt;5,"CUMPLE","Verificar Diametro")</f>
        <v>CUMPLE</v>
      </c>
      <c r="G158" s="1"/>
      <c r="H158" s="1"/>
      <c r="I158" s="1"/>
      <c r="J158" s="1"/>
    </row>
    <row r="159" spans="1:10" x14ac:dyDescent="0.3">
      <c r="C159" s="1" t="s">
        <v>69</v>
      </c>
      <c r="D159" s="1"/>
    </row>
    <row r="160" spans="1:10" x14ac:dyDescent="0.3">
      <c r="D160" s="27" t="s">
        <v>59</v>
      </c>
      <c r="E160" s="27">
        <f>IF(B148&lt;F155,A155/0.0254,"Modificar Diametro")</f>
        <v>5.9999999999999991</v>
      </c>
      <c r="F160" s="27" t="s">
        <v>65</v>
      </c>
    </row>
    <row r="162" spans="1:10" x14ac:dyDescent="0.3">
      <c r="F162" s="1"/>
      <c r="G162" s="1"/>
      <c r="H162" s="1"/>
      <c r="I162" s="1"/>
      <c r="J162" s="1"/>
    </row>
    <row r="163" spans="1:10" ht="18" x14ac:dyDescent="0.35">
      <c r="A163" s="10" t="s">
        <v>102</v>
      </c>
    </row>
    <row r="164" spans="1:10" x14ac:dyDescent="0.3">
      <c r="B164" s="2" t="s">
        <v>20</v>
      </c>
      <c r="C164" s="2" t="s">
        <v>13</v>
      </c>
      <c r="D164" s="2" t="s">
        <v>17</v>
      </c>
      <c r="E164" s="2" t="s">
        <v>22</v>
      </c>
      <c r="F164" s="2" t="s">
        <v>18</v>
      </c>
      <c r="G164" s="2" t="s">
        <v>19</v>
      </c>
      <c r="H164" s="11"/>
    </row>
    <row r="165" spans="1:10" x14ac:dyDescent="0.3">
      <c r="A165" s="2" t="s">
        <v>54</v>
      </c>
      <c r="B165" s="47"/>
      <c r="C165" s="48"/>
      <c r="D165" s="48"/>
      <c r="E165" s="49"/>
      <c r="F165" s="6">
        <f>+B66+B148</f>
        <v>3.2911291666666662E-2</v>
      </c>
      <c r="G165" s="2"/>
      <c r="H165" s="11"/>
    </row>
    <row r="166" spans="1:10" x14ac:dyDescent="0.3">
      <c r="A166" s="11"/>
      <c r="B166" s="11"/>
      <c r="C166" s="11"/>
      <c r="D166" s="11"/>
      <c r="E166" s="11"/>
      <c r="F166" s="12"/>
      <c r="G166" s="12"/>
      <c r="H166" s="12"/>
    </row>
    <row r="167" spans="1:10" x14ac:dyDescent="0.3">
      <c r="F167" s="2" t="s">
        <v>43</v>
      </c>
      <c r="G167" s="6">
        <f>+F165</f>
        <v>3.2911291666666662E-2</v>
      </c>
      <c r="H167" s="12"/>
    </row>
    <row r="168" spans="1:10" x14ac:dyDescent="0.3">
      <c r="A168" s="1" t="s">
        <v>71</v>
      </c>
      <c r="B168" s="1"/>
      <c r="C168" s="1"/>
    </row>
    <row r="169" spans="1:10" x14ac:dyDescent="0.3">
      <c r="A169" s="5" t="s">
        <v>66</v>
      </c>
      <c r="B169" s="14">
        <f>+G167</f>
        <v>3.2911291666666662E-2</v>
      </c>
      <c r="C169" t="s">
        <v>15</v>
      </c>
    </row>
    <row r="170" spans="1:10" x14ac:dyDescent="0.3">
      <c r="A170" s="5" t="s">
        <v>56</v>
      </c>
      <c r="B170" s="7">
        <v>0.01</v>
      </c>
    </row>
    <row r="171" spans="1:10" ht="18" x14ac:dyDescent="0.35">
      <c r="A171" s="21" t="s">
        <v>68</v>
      </c>
      <c r="B171" s="15">
        <f>180*PI()/180</f>
        <v>3.1415926535897931</v>
      </c>
      <c r="C171" t="s">
        <v>58</v>
      </c>
    </row>
    <row r="172" spans="1:10" x14ac:dyDescent="0.3">
      <c r="A172" s="5" t="s">
        <v>38</v>
      </c>
      <c r="B172" s="7">
        <v>0.12620000000000001</v>
      </c>
      <c r="C172" t="s">
        <v>50</v>
      </c>
    </row>
    <row r="173" spans="1:10" x14ac:dyDescent="0.3">
      <c r="A173" s="23" t="s">
        <v>57</v>
      </c>
      <c r="B173" s="22">
        <v>8</v>
      </c>
      <c r="C173" t="s">
        <v>65</v>
      </c>
      <c r="G173" s="13"/>
      <c r="H173" s="13"/>
    </row>
    <row r="175" spans="1:10" x14ac:dyDescent="0.3">
      <c r="A175" s="8" t="s">
        <v>57</v>
      </c>
      <c r="B175" s="2" t="s">
        <v>38</v>
      </c>
      <c r="C175" s="5" t="s">
        <v>39</v>
      </c>
      <c r="D175" s="5" t="s">
        <v>40</v>
      </c>
      <c r="E175" s="5" t="s">
        <v>41</v>
      </c>
      <c r="F175" s="8" t="s">
        <v>99</v>
      </c>
      <c r="G175" s="8" t="s">
        <v>96</v>
      </c>
    </row>
    <row r="176" spans="1:10" x14ac:dyDescent="0.3">
      <c r="A176" s="9">
        <f>+B173*0.0254</f>
        <v>0.20319999999999999</v>
      </c>
      <c r="B176" s="2">
        <f>+B172</f>
        <v>0.12620000000000001</v>
      </c>
      <c r="C176" s="4">
        <f>+((B171-SIN(B171))*(A176)^2)/8</f>
        <v>1.6214639331119926E-2</v>
      </c>
      <c r="D176" s="2">
        <f>+B171*A176/2</f>
        <v>0.31918581360472298</v>
      </c>
      <c r="E176" s="2">
        <f>(1-SIN(B171)/B171)*(A176)/4</f>
        <v>5.0799999999999998E-2</v>
      </c>
      <c r="F176" s="9">
        <f>C176*(E176^(2/3))*(B176^(1/2))/B170</f>
        <v>7.9009523977789306E-2</v>
      </c>
      <c r="G176" s="20">
        <f>+B169/C176</f>
        <v>2.0297270259660789</v>
      </c>
    </row>
    <row r="178" spans="1:10" x14ac:dyDescent="0.3">
      <c r="C178" s="1" t="s">
        <v>100</v>
      </c>
      <c r="D178" s="1"/>
      <c r="F178" s="1" t="str">
        <f>+IF(B169&lt;F176,"CUMPLE","NO CUMPLE")</f>
        <v>CUMPLE</v>
      </c>
      <c r="G178" s="1"/>
      <c r="H178" s="1"/>
      <c r="I178" s="1"/>
      <c r="J178" s="1"/>
    </row>
    <row r="179" spans="1:10" x14ac:dyDescent="0.3">
      <c r="C179" s="1" t="s">
        <v>98</v>
      </c>
      <c r="D179" s="1"/>
      <c r="F179" s="1" t="str">
        <f>+IF(G176&lt;5,"CUMPLE","Verificar Diametro")</f>
        <v>CUMPLE</v>
      </c>
      <c r="G179" s="1"/>
      <c r="H179" s="1"/>
      <c r="I179" s="1"/>
      <c r="J179" s="1"/>
    </row>
    <row r="180" spans="1:10" x14ac:dyDescent="0.3">
      <c r="C180" s="1" t="s">
        <v>69</v>
      </c>
      <c r="D180" s="1"/>
    </row>
    <row r="181" spans="1:10" x14ac:dyDescent="0.3">
      <c r="D181" s="27" t="s">
        <v>59</v>
      </c>
      <c r="E181" s="27">
        <f>IF(B169&lt;F176,A176/0.0254,"Modificar Diametro")</f>
        <v>8</v>
      </c>
      <c r="F181" s="27" t="s">
        <v>65</v>
      </c>
    </row>
    <row r="182" spans="1:10" x14ac:dyDescent="0.3">
      <c r="F182" s="1"/>
      <c r="G182" s="1"/>
      <c r="H182" s="1"/>
      <c r="I182" s="1"/>
      <c r="J182" s="1"/>
    </row>
    <row r="183" spans="1:10" x14ac:dyDescent="0.3">
      <c r="F183" s="1"/>
      <c r="G183" s="1"/>
      <c r="H183" s="1"/>
      <c r="I183" s="1"/>
      <c r="J183" s="1"/>
    </row>
    <row r="184" spans="1:10" ht="18" x14ac:dyDescent="0.35">
      <c r="A184" s="10" t="s">
        <v>123</v>
      </c>
    </row>
    <row r="185" spans="1:10" x14ac:dyDescent="0.3">
      <c r="B185" s="2" t="s">
        <v>20</v>
      </c>
      <c r="C185" s="2" t="s">
        <v>13</v>
      </c>
      <c r="D185" s="2" t="s">
        <v>17</v>
      </c>
      <c r="E185" s="2" t="s">
        <v>22</v>
      </c>
      <c r="F185" s="2" t="s">
        <v>18</v>
      </c>
      <c r="G185" s="2" t="s">
        <v>19</v>
      </c>
      <c r="H185" s="11"/>
    </row>
    <row r="186" spans="1:10" x14ac:dyDescent="0.3">
      <c r="A186" s="2" t="s">
        <v>54</v>
      </c>
      <c r="B186" s="47"/>
      <c r="C186" s="48"/>
      <c r="D186" s="48"/>
      <c r="E186" s="49"/>
      <c r="F186" s="6">
        <f>+B169</f>
        <v>3.2911291666666662E-2</v>
      </c>
      <c r="G186" s="2"/>
      <c r="H186" s="11"/>
    </row>
    <row r="187" spans="1:10" x14ac:dyDescent="0.3">
      <c r="A187" s="2" t="s">
        <v>72</v>
      </c>
      <c r="B187" s="2">
        <f>(163*1.25)/10000</f>
        <v>2.0375000000000001E-2</v>
      </c>
      <c r="C187" s="2">
        <v>0.97</v>
      </c>
      <c r="D187" s="2">
        <v>100</v>
      </c>
      <c r="E187" s="2"/>
      <c r="F187" s="6">
        <f t="shared" ref="F187" si="10">+B187*C187*D187/360</f>
        <v>5.4899305555555552E-3</v>
      </c>
      <c r="G187" s="6"/>
      <c r="H187" s="12"/>
    </row>
    <row r="188" spans="1:10" x14ac:dyDescent="0.3">
      <c r="A188" s="11"/>
      <c r="B188" s="11"/>
      <c r="C188" s="11"/>
      <c r="D188" s="11"/>
      <c r="E188" s="11"/>
      <c r="F188" s="12"/>
      <c r="G188" s="12"/>
      <c r="H188" s="12"/>
    </row>
    <row r="189" spans="1:10" x14ac:dyDescent="0.3">
      <c r="F189" s="2" t="s">
        <v>43</v>
      </c>
      <c r="G189" s="6">
        <f>+F186+F187</f>
        <v>3.8401222222222219E-2</v>
      </c>
      <c r="H189" s="12"/>
    </row>
    <row r="190" spans="1:10" x14ac:dyDescent="0.3">
      <c r="A190" s="1" t="s">
        <v>33</v>
      </c>
      <c r="B190" s="1"/>
      <c r="C190" s="1"/>
    </row>
    <row r="191" spans="1:10" x14ac:dyDescent="0.3">
      <c r="A191" s="5" t="s">
        <v>34</v>
      </c>
      <c r="B191" s="14">
        <f>+G189</f>
        <v>3.8401222222222219E-2</v>
      </c>
      <c r="C191" t="s">
        <v>15</v>
      </c>
    </row>
    <row r="192" spans="1:10" x14ac:dyDescent="0.3">
      <c r="A192" s="5" t="s">
        <v>44</v>
      </c>
      <c r="B192" s="7">
        <v>1.2999999999999999E-2</v>
      </c>
    </row>
    <row r="193" spans="1:11" x14ac:dyDescent="0.3">
      <c r="A193" s="5" t="s">
        <v>35</v>
      </c>
      <c r="B193" s="7">
        <v>0</v>
      </c>
    </row>
    <row r="194" spans="1:11" x14ac:dyDescent="0.3">
      <c r="A194" s="5" t="s">
        <v>36</v>
      </c>
      <c r="B194" s="7">
        <v>0.4</v>
      </c>
      <c r="C194" t="s">
        <v>49</v>
      </c>
    </row>
    <row r="195" spans="1:11" x14ac:dyDescent="0.3">
      <c r="A195" s="5" t="s">
        <v>38</v>
      </c>
      <c r="B195" s="7">
        <v>0.01</v>
      </c>
      <c r="C195" t="s">
        <v>50</v>
      </c>
    </row>
    <row r="196" spans="1:11" x14ac:dyDescent="0.3">
      <c r="A196" s="5" t="s">
        <v>48</v>
      </c>
      <c r="B196" s="7">
        <v>0.56000000000000005</v>
      </c>
      <c r="C196" t="s">
        <v>49</v>
      </c>
      <c r="G196" s="13"/>
      <c r="H196" s="13"/>
    </row>
    <row r="198" spans="1:11" x14ac:dyDescent="0.3">
      <c r="A198" s="8" t="s">
        <v>37</v>
      </c>
      <c r="B198" s="2" t="s">
        <v>38</v>
      </c>
      <c r="C198" s="5" t="s">
        <v>39</v>
      </c>
      <c r="D198" s="5" t="s">
        <v>40</v>
      </c>
      <c r="E198" s="5" t="s">
        <v>41</v>
      </c>
      <c r="F198" s="5" t="s">
        <v>34</v>
      </c>
      <c r="G198" s="17" t="s">
        <v>45</v>
      </c>
      <c r="H198" s="8" t="s">
        <v>60</v>
      </c>
      <c r="I198" s="17" t="s">
        <v>46</v>
      </c>
      <c r="J198" s="8" t="s">
        <v>101</v>
      </c>
      <c r="K198" s="8" t="s">
        <v>96</v>
      </c>
    </row>
    <row r="199" spans="1:11" x14ac:dyDescent="0.3">
      <c r="A199" s="9">
        <v>8.1912365906689988E-2</v>
      </c>
      <c r="B199" s="4">
        <f>+B195</f>
        <v>0.01</v>
      </c>
      <c r="C199" s="2">
        <f>+A199*B194</f>
        <v>3.2764946362675997E-2</v>
      </c>
      <c r="D199" s="2">
        <f>+B194+2*A199</f>
        <v>0.56382473181338</v>
      </c>
      <c r="E199" s="2">
        <f>C199/D199</f>
        <v>5.8111935347881914E-2</v>
      </c>
      <c r="F199" s="2">
        <f>C199*(E199^(2/3))*(B199^(1/2))/B192</f>
        <v>3.781316257519788E-2</v>
      </c>
      <c r="G199" s="31">
        <f>ROUND(A199,2)</f>
        <v>0.08</v>
      </c>
      <c r="H199" s="20">
        <f>+ROUND(G199,4)*100</f>
        <v>8</v>
      </c>
      <c r="I199" s="2">
        <f>4/5*B196</f>
        <v>0.44800000000000006</v>
      </c>
      <c r="J199" s="9">
        <f>+(B196-G199)*100</f>
        <v>48.000000000000007</v>
      </c>
      <c r="K199" s="20">
        <f>+B191/C199</f>
        <v>1.1720215194970303</v>
      </c>
    </row>
    <row r="201" spans="1:11" x14ac:dyDescent="0.3">
      <c r="F201" s="1" t="s">
        <v>47</v>
      </c>
      <c r="G201" s="1"/>
      <c r="H201" s="1"/>
      <c r="I201" s="1" t="str">
        <f>IF(G199&lt;I199,"CUMPLE","NO CUMPLE")</f>
        <v>CUMPLE</v>
      </c>
      <c r="J201" s="1"/>
    </row>
    <row r="202" spans="1:11" x14ac:dyDescent="0.3">
      <c r="F202" s="1" t="s">
        <v>97</v>
      </c>
      <c r="G202" s="1"/>
      <c r="I202" s="1" t="str">
        <f>+IF(K199&lt;3,"CUMPLE","Verificar Ancho")</f>
        <v>CUMPLE</v>
      </c>
      <c r="J202" s="1"/>
    </row>
    <row r="204" spans="1:11" ht="18" hidden="1" x14ac:dyDescent="0.35">
      <c r="A204" s="26" t="s">
        <v>92</v>
      </c>
    </row>
    <row r="205" spans="1:11" hidden="1" x14ac:dyDescent="0.3">
      <c r="B205" s="2" t="s">
        <v>20</v>
      </c>
      <c r="C205" s="2" t="s">
        <v>13</v>
      </c>
      <c r="D205" s="2" t="s">
        <v>17</v>
      </c>
      <c r="E205" s="2" t="s">
        <v>22</v>
      </c>
      <c r="F205" s="2" t="s">
        <v>18</v>
      </c>
      <c r="G205" s="2" t="s">
        <v>19</v>
      </c>
      <c r="H205" s="11"/>
    </row>
    <row r="206" spans="1:11" hidden="1" x14ac:dyDescent="0.3">
      <c r="A206" s="7" t="s">
        <v>73</v>
      </c>
      <c r="B206" s="2">
        <f>42/10000</f>
        <v>4.1999999999999997E-3</v>
      </c>
      <c r="C206" s="2">
        <v>0.97</v>
      </c>
      <c r="D206" s="2">
        <v>100</v>
      </c>
      <c r="E206" s="2"/>
      <c r="F206" s="6">
        <f t="shared" ref="F206" si="11">+B206*C206*D206/360</f>
        <v>1.1316666666666665E-3</v>
      </c>
      <c r="G206" s="6"/>
      <c r="H206" s="12"/>
    </row>
    <row r="207" spans="1:11" hidden="1" x14ac:dyDescent="0.3">
      <c r="A207" s="11"/>
      <c r="B207" s="11"/>
      <c r="C207" s="11"/>
      <c r="D207" s="11"/>
      <c r="E207" s="11"/>
      <c r="F207" s="12"/>
      <c r="G207" s="12"/>
      <c r="H207" s="12"/>
    </row>
    <row r="208" spans="1:11" hidden="1" x14ac:dyDescent="0.3">
      <c r="F208" s="2" t="s">
        <v>43</v>
      </c>
      <c r="G208" s="6">
        <f>+F206</f>
        <v>1.1316666666666665E-3</v>
      </c>
      <c r="H208" s="12"/>
    </row>
    <row r="209" spans="1:10" hidden="1" x14ac:dyDescent="0.3">
      <c r="A209" s="1" t="s">
        <v>33</v>
      </c>
      <c r="B209" s="1"/>
      <c r="C209" s="1"/>
    </row>
    <row r="210" spans="1:10" hidden="1" x14ac:dyDescent="0.3">
      <c r="A210" s="5" t="s">
        <v>34</v>
      </c>
      <c r="B210" s="14">
        <f>+G208</f>
        <v>1.1316666666666665E-3</v>
      </c>
      <c r="C210" t="s">
        <v>15</v>
      </c>
    </row>
    <row r="211" spans="1:10" hidden="1" x14ac:dyDescent="0.3">
      <c r="A211" s="5" t="s">
        <v>44</v>
      </c>
      <c r="B211" s="7">
        <v>1.2999999999999999E-2</v>
      </c>
    </row>
    <row r="212" spans="1:10" hidden="1" x14ac:dyDescent="0.3">
      <c r="A212" s="5" t="s">
        <v>35</v>
      </c>
      <c r="B212" s="7">
        <v>0</v>
      </c>
    </row>
    <row r="213" spans="1:10" hidden="1" x14ac:dyDescent="0.3">
      <c r="A213" s="5" t="s">
        <v>36</v>
      </c>
      <c r="B213" s="7">
        <v>0.3</v>
      </c>
      <c r="C213" t="s">
        <v>49</v>
      </c>
    </row>
    <row r="214" spans="1:10" hidden="1" x14ac:dyDescent="0.3">
      <c r="A214" s="5" t="s">
        <v>38</v>
      </c>
      <c r="B214" s="7">
        <v>0.01</v>
      </c>
      <c r="C214" t="s">
        <v>50</v>
      </c>
    </row>
    <row r="215" spans="1:10" hidden="1" x14ac:dyDescent="0.3">
      <c r="A215" s="5" t="s">
        <v>48</v>
      </c>
      <c r="B215" s="7">
        <v>0.3</v>
      </c>
      <c r="C215" t="s">
        <v>49</v>
      </c>
      <c r="G215" s="13"/>
      <c r="H215" s="13"/>
    </row>
    <row r="216" spans="1:10" hidden="1" x14ac:dyDescent="0.3"/>
    <row r="217" spans="1:10" hidden="1" x14ac:dyDescent="0.3">
      <c r="A217" s="8" t="s">
        <v>37</v>
      </c>
      <c r="B217" s="2" t="s">
        <v>38</v>
      </c>
      <c r="C217" s="5" t="s">
        <v>39</v>
      </c>
      <c r="D217" s="5" t="s">
        <v>40</v>
      </c>
      <c r="E217" s="5" t="s">
        <v>41</v>
      </c>
      <c r="F217" s="5" t="s">
        <v>34</v>
      </c>
      <c r="G217" s="8" t="s">
        <v>45</v>
      </c>
      <c r="H217" s="8" t="s">
        <v>60</v>
      </c>
      <c r="I217" s="17" t="s">
        <v>46</v>
      </c>
      <c r="J217" s="33"/>
    </row>
    <row r="218" spans="1:10" hidden="1" x14ac:dyDescent="0.3">
      <c r="A218" s="9">
        <v>1.5021800547145378E-2</v>
      </c>
      <c r="B218" s="4">
        <f>+B214</f>
        <v>0.01</v>
      </c>
      <c r="C218" s="2">
        <f>+A218*B213</f>
        <v>4.5065401641436135E-3</v>
      </c>
      <c r="D218" s="2">
        <f>+B213+2*A218</f>
        <v>0.33004360109429076</v>
      </c>
      <c r="E218" s="2">
        <f>C218/D218</f>
        <v>1.365437823730487E-2</v>
      </c>
      <c r="F218" s="2">
        <f>C218*(E218^(2/3))*(B218^(1/2))/B211</f>
        <v>1.9803768749207533E-3</v>
      </c>
      <c r="G218" s="16">
        <f>ROUND(A218,2)</f>
        <v>0.02</v>
      </c>
      <c r="H218" s="20">
        <f>+ROUND(G218,4)*100</f>
        <v>2</v>
      </c>
      <c r="I218" s="2">
        <f>4/5*B215</f>
        <v>0.24</v>
      </c>
      <c r="J218" s="11"/>
    </row>
    <row r="219" spans="1:10" hidden="1" x14ac:dyDescent="0.3"/>
    <row r="220" spans="1:10" hidden="1" x14ac:dyDescent="0.3">
      <c r="F220" s="1" t="s">
        <v>47</v>
      </c>
      <c r="G220" s="1"/>
      <c r="H220" s="1"/>
      <c r="I220" s="1" t="str">
        <f>IF(G218&lt;I218,"CUMPLE","NO CUMPLE")</f>
        <v>CUMPLE</v>
      </c>
      <c r="J220" s="1"/>
    </row>
    <row r="221" spans="1:10" hidden="1" x14ac:dyDescent="0.3"/>
    <row r="223" spans="1:10" ht="18" x14ac:dyDescent="0.35">
      <c r="A223" s="10" t="s">
        <v>103</v>
      </c>
    </row>
    <row r="224" spans="1:10" x14ac:dyDescent="0.3">
      <c r="B224" s="2" t="s">
        <v>20</v>
      </c>
      <c r="C224" s="2" t="s">
        <v>13</v>
      </c>
      <c r="D224" s="2" t="s">
        <v>17</v>
      </c>
      <c r="E224" s="2" t="s">
        <v>22</v>
      </c>
      <c r="F224" s="2" t="s">
        <v>18</v>
      </c>
      <c r="G224" s="2" t="s">
        <v>19</v>
      </c>
    </row>
    <row r="225" spans="1:7" x14ac:dyDescent="0.3">
      <c r="A225" s="2" t="s">
        <v>54</v>
      </c>
      <c r="B225" s="47"/>
      <c r="C225" s="48"/>
      <c r="D225" s="48"/>
      <c r="E225" s="49"/>
      <c r="F225" s="6">
        <f>+B191</f>
        <v>3.8401222222222219E-2</v>
      </c>
      <c r="G225" s="2"/>
    </row>
    <row r="226" spans="1:7" x14ac:dyDescent="0.3">
      <c r="A226" s="7" t="s">
        <v>73</v>
      </c>
      <c r="B226" s="2">
        <f>42/10000</f>
        <v>4.1999999999999997E-3</v>
      </c>
      <c r="C226" s="2">
        <v>0.97</v>
      </c>
      <c r="D226" s="2">
        <v>100</v>
      </c>
      <c r="E226" s="2"/>
      <c r="F226" s="6">
        <f t="shared" ref="F226" si="12">+B226*C226*D226/360</f>
        <v>1.1316666666666665E-3</v>
      </c>
      <c r="G226" s="6"/>
    </row>
    <row r="227" spans="1:7" x14ac:dyDescent="0.3">
      <c r="A227" s="11"/>
      <c r="B227" s="11"/>
      <c r="C227" s="11"/>
      <c r="D227" s="11"/>
      <c r="E227" s="11"/>
      <c r="F227" s="12"/>
      <c r="G227" s="12"/>
    </row>
    <row r="228" spans="1:7" x14ac:dyDescent="0.3">
      <c r="F228" s="2" t="s">
        <v>43</v>
      </c>
      <c r="G228" s="6">
        <f>+F225+F226</f>
        <v>3.9532888888888888E-2</v>
      </c>
    </row>
    <row r="229" spans="1:7" x14ac:dyDescent="0.3">
      <c r="A229" s="1" t="s">
        <v>71</v>
      </c>
      <c r="B229" s="1"/>
      <c r="C229" s="1"/>
    </row>
    <row r="230" spans="1:7" x14ac:dyDescent="0.3">
      <c r="A230" s="5" t="s">
        <v>66</v>
      </c>
      <c r="B230" s="14">
        <f>+G228</f>
        <v>3.9532888888888888E-2</v>
      </c>
      <c r="C230" t="s">
        <v>15</v>
      </c>
    </row>
    <row r="231" spans="1:7" x14ac:dyDescent="0.3">
      <c r="A231" s="5" t="s">
        <v>56</v>
      </c>
      <c r="B231" s="7">
        <v>0.01</v>
      </c>
    </row>
    <row r="232" spans="1:7" ht="18" x14ac:dyDescent="0.35">
      <c r="A232" s="21" t="s">
        <v>93</v>
      </c>
      <c r="B232" s="15">
        <f>180*PI()/180</f>
        <v>3.1415926535897931</v>
      </c>
      <c r="C232" t="s">
        <v>58</v>
      </c>
    </row>
    <row r="233" spans="1:7" x14ac:dyDescent="0.3">
      <c r="A233" s="5" t="s">
        <v>38</v>
      </c>
      <c r="B233" s="7">
        <v>5.57E-2</v>
      </c>
      <c r="C233" t="s">
        <v>50</v>
      </c>
    </row>
    <row r="234" spans="1:7" x14ac:dyDescent="0.3">
      <c r="A234" s="23" t="s">
        <v>57</v>
      </c>
      <c r="B234" s="22">
        <v>8</v>
      </c>
      <c r="C234" t="s">
        <v>65</v>
      </c>
      <c r="G234" s="13"/>
    </row>
    <row r="236" spans="1:7" x14ac:dyDescent="0.3">
      <c r="A236" s="8" t="s">
        <v>57</v>
      </c>
      <c r="B236" s="2" t="s">
        <v>38</v>
      </c>
      <c r="C236" s="5" t="s">
        <v>39</v>
      </c>
      <c r="D236" s="5" t="s">
        <v>40</v>
      </c>
      <c r="E236" s="5" t="s">
        <v>41</v>
      </c>
      <c r="F236" s="8" t="s">
        <v>99</v>
      </c>
      <c r="G236" s="8" t="s">
        <v>96</v>
      </c>
    </row>
    <row r="237" spans="1:7" x14ac:dyDescent="0.3">
      <c r="A237" s="9">
        <f>+B234*0.0254</f>
        <v>0.20319999999999999</v>
      </c>
      <c r="B237" s="2">
        <f>+B233</f>
        <v>5.57E-2</v>
      </c>
      <c r="C237" s="4">
        <f>+((B232-SIN(B232))*(A237)^2)/8</f>
        <v>1.6214639331119926E-2</v>
      </c>
      <c r="D237" s="2">
        <f>+B232*A237/2</f>
        <v>0.31918581360472298</v>
      </c>
      <c r="E237" s="2">
        <f>(1-SIN(B232)/B232)*(A237)/4</f>
        <v>5.0799999999999998E-2</v>
      </c>
      <c r="F237" s="9">
        <f>C237*(E237^(2/3))*(B237^(1/2))/B231</f>
        <v>5.2490095795932085E-2</v>
      </c>
      <c r="G237" s="20">
        <f>+B230/C237</f>
        <v>2.4380985652277469</v>
      </c>
    </row>
    <row r="239" spans="1:7" x14ac:dyDescent="0.3">
      <c r="C239" s="1" t="s">
        <v>100</v>
      </c>
      <c r="D239" s="1"/>
      <c r="F239" s="1" t="str">
        <f>+IF(B230&lt;F237,"CUMPLE","NO CUMPLE")</f>
        <v>CUMPLE</v>
      </c>
      <c r="G239" s="1"/>
    </row>
    <row r="240" spans="1:7" x14ac:dyDescent="0.3">
      <c r="C240" s="1" t="s">
        <v>98</v>
      </c>
      <c r="D240" s="1"/>
      <c r="F240" s="1" t="str">
        <f>+IF(G237&lt;5,"CUMPLE","Verificar Diametro")</f>
        <v>CUMPLE</v>
      </c>
      <c r="G240" s="1"/>
    </row>
    <row r="241" spans="1:8" x14ac:dyDescent="0.3">
      <c r="C241" s="1" t="s">
        <v>69</v>
      </c>
      <c r="D241" s="1"/>
    </row>
    <row r="242" spans="1:8" x14ac:dyDescent="0.3">
      <c r="D242" s="27" t="s">
        <v>59</v>
      </c>
      <c r="E242" s="27">
        <f>IF(B230&lt;F237,A237/0.0254,"Modificar Diametro")</f>
        <v>8</v>
      </c>
      <c r="F242" s="27" t="s">
        <v>65</v>
      </c>
    </row>
    <row r="245" spans="1:8" ht="18" x14ac:dyDescent="0.35">
      <c r="A245" s="10" t="s">
        <v>104</v>
      </c>
      <c r="H245" s="11"/>
    </row>
    <row r="246" spans="1:8" x14ac:dyDescent="0.3">
      <c r="B246" s="2" t="s">
        <v>20</v>
      </c>
      <c r="C246" s="2" t="s">
        <v>13</v>
      </c>
      <c r="D246" s="2" t="s">
        <v>17</v>
      </c>
      <c r="E246" s="2" t="s">
        <v>22</v>
      </c>
      <c r="F246" s="2" t="s">
        <v>18</v>
      </c>
      <c r="G246" s="2" t="s">
        <v>19</v>
      </c>
      <c r="H246" s="11"/>
    </row>
    <row r="247" spans="1:8" x14ac:dyDescent="0.3">
      <c r="A247" s="2" t="s">
        <v>54</v>
      </c>
      <c r="B247" s="47"/>
      <c r="C247" s="48"/>
      <c r="D247" s="48"/>
      <c r="E247" s="49"/>
      <c r="F247" s="6">
        <f>+B230</f>
        <v>3.9532888888888888E-2</v>
      </c>
      <c r="G247" s="2"/>
      <c r="H247" s="12"/>
    </row>
    <row r="248" spans="1:8" x14ac:dyDescent="0.3">
      <c r="A248" s="7" t="s">
        <v>26</v>
      </c>
      <c r="B248" s="2">
        <f>+$B$9/10000</f>
        <v>4.2477999999999995E-2</v>
      </c>
      <c r="C248" s="2">
        <v>0.97</v>
      </c>
      <c r="D248" s="2">
        <v>100</v>
      </c>
      <c r="E248" s="2">
        <v>5</v>
      </c>
      <c r="F248" s="6">
        <f t="shared" ref="F248" si="13">+B248*C248*D248/360</f>
        <v>1.144546111111111E-2</v>
      </c>
      <c r="G248" s="6">
        <f t="shared" ref="G248" si="14">+F248/E248</f>
        <v>2.2890922222222219E-3</v>
      </c>
      <c r="H248" s="12"/>
    </row>
    <row r="249" spans="1:8" x14ac:dyDescent="0.3">
      <c r="A249" s="2" t="s">
        <v>74</v>
      </c>
      <c r="B249" s="2">
        <f>(82+33)/10000</f>
        <v>1.15E-2</v>
      </c>
      <c r="C249" s="2">
        <v>0.97</v>
      </c>
      <c r="D249" s="2">
        <v>100</v>
      </c>
      <c r="E249" s="19">
        <v>1</v>
      </c>
      <c r="F249" s="6">
        <f t="shared" ref="F249" si="15">+B249*C249*D249/360</f>
        <v>3.098611111111111E-3</v>
      </c>
      <c r="G249" s="6"/>
      <c r="H249" s="12"/>
    </row>
    <row r="250" spans="1:8" x14ac:dyDescent="0.3">
      <c r="A250" s="11"/>
      <c r="B250" s="11"/>
      <c r="C250" s="11"/>
      <c r="D250" s="11"/>
      <c r="E250" s="11"/>
      <c r="F250" s="12"/>
      <c r="G250" s="12"/>
      <c r="H250" s="12"/>
    </row>
    <row r="251" spans="1:8" x14ac:dyDescent="0.3">
      <c r="F251" s="2" t="s">
        <v>43</v>
      </c>
      <c r="G251" s="6">
        <f>+F247+G248*3+F249</f>
        <v>4.9498776666666661E-2</v>
      </c>
    </row>
    <row r="252" spans="1:8" x14ac:dyDescent="0.3">
      <c r="A252" s="1" t="s">
        <v>33</v>
      </c>
      <c r="B252" s="1"/>
      <c r="C252" s="1"/>
    </row>
    <row r="253" spans="1:8" x14ac:dyDescent="0.3">
      <c r="A253" s="5" t="s">
        <v>34</v>
      </c>
      <c r="B253" s="14">
        <f>+G251</f>
        <v>4.9498776666666661E-2</v>
      </c>
      <c r="C253" t="s">
        <v>15</v>
      </c>
    </row>
    <row r="254" spans="1:8" x14ac:dyDescent="0.3">
      <c r="A254" s="5" t="s">
        <v>44</v>
      </c>
      <c r="B254" s="7">
        <v>1.2999999999999999E-2</v>
      </c>
    </row>
    <row r="255" spans="1:8" x14ac:dyDescent="0.3">
      <c r="A255" s="5" t="s">
        <v>35</v>
      </c>
      <c r="B255" s="7">
        <v>0</v>
      </c>
    </row>
    <row r="256" spans="1:8" x14ac:dyDescent="0.3">
      <c r="A256" s="5" t="s">
        <v>36</v>
      </c>
      <c r="B256" s="7">
        <v>0.3</v>
      </c>
      <c r="C256" t="s">
        <v>49</v>
      </c>
    </row>
    <row r="257" spans="1:11" x14ac:dyDescent="0.3">
      <c r="A257" s="5" t="s">
        <v>38</v>
      </c>
      <c r="B257" s="7">
        <v>0.01</v>
      </c>
      <c r="C257" t="s">
        <v>50</v>
      </c>
      <c r="H257" s="13"/>
    </row>
    <row r="258" spans="1:11" x14ac:dyDescent="0.3">
      <c r="A258" s="5" t="s">
        <v>81</v>
      </c>
      <c r="B258" s="7">
        <v>0.7</v>
      </c>
      <c r="C258" t="s">
        <v>49</v>
      </c>
      <c r="G258" s="13"/>
    </row>
    <row r="260" spans="1:11" x14ac:dyDescent="0.3">
      <c r="A260" s="8" t="s">
        <v>37</v>
      </c>
      <c r="B260" s="2" t="s">
        <v>38</v>
      </c>
      <c r="C260" s="5" t="s">
        <v>39</v>
      </c>
      <c r="D260" s="5" t="s">
        <v>40</v>
      </c>
      <c r="E260" s="5" t="s">
        <v>41</v>
      </c>
      <c r="F260" s="5" t="s">
        <v>34</v>
      </c>
      <c r="G260" s="17" t="s">
        <v>45</v>
      </c>
      <c r="H260" s="8" t="s">
        <v>60</v>
      </c>
      <c r="I260" s="17" t="s">
        <v>46</v>
      </c>
      <c r="J260" s="8" t="s">
        <v>101</v>
      </c>
      <c r="K260" s="8" t="s">
        <v>96</v>
      </c>
    </row>
    <row r="261" spans="1:11" x14ac:dyDescent="0.3">
      <c r="A261" s="9">
        <v>0.12713879413189741</v>
      </c>
      <c r="B261" s="4">
        <f>+B257</f>
        <v>0.01</v>
      </c>
      <c r="C261" s="2">
        <f>+A261*B256</f>
        <v>3.8141638239569224E-2</v>
      </c>
      <c r="D261" s="2">
        <f>+B256+2*A261</f>
        <v>0.55427758826379481</v>
      </c>
      <c r="E261" s="2">
        <f>C261/D261</f>
        <v>6.8813242763509766E-2</v>
      </c>
      <c r="F261" s="2">
        <f>C261*(E261^(2/3))*(B261^(1/2))/B254</f>
        <v>4.9268651211849472E-2</v>
      </c>
      <c r="G261" s="31">
        <f>ROUND(A261,2)</f>
        <v>0.13</v>
      </c>
      <c r="H261" s="20">
        <f>+ROUND(G261,4)*100</f>
        <v>13</v>
      </c>
      <c r="I261" s="2">
        <f>4/5*B258</f>
        <v>0.55999999999999994</v>
      </c>
      <c r="J261" s="9">
        <f>+(B258-G261)*100</f>
        <v>56.999999999999993</v>
      </c>
      <c r="K261" s="20">
        <f>+B253/C261</f>
        <v>1.2977622082135742</v>
      </c>
    </row>
    <row r="263" spans="1:11" x14ac:dyDescent="0.3">
      <c r="F263" s="1" t="s">
        <v>47</v>
      </c>
      <c r="G263" s="1"/>
      <c r="H263" s="1"/>
      <c r="I263" s="1" t="str">
        <f>IF(G261&lt;I261,"CUMPLE","NO CUMPLE")</f>
        <v>CUMPLE</v>
      </c>
      <c r="J263" s="1"/>
    </row>
    <row r="264" spans="1:11" x14ac:dyDescent="0.3">
      <c r="F264" s="1" t="s">
        <v>97</v>
      </c>
      <c r="G264" s="1"/>
      <c r="I264" s="1" t="str">
        <f>+IF(K261&lt;3,"CUMPLE","Verificar Ancho")</f>
        <v>CUMPLE</v>
      </c>
      <c r="J264" s="1"/>
    </row>
    <row r="267" spans="1:11" ht="18" x14ac:dyDescent="0.35">
      <c r="A267" s="10" t="s">
        <v>105</v>
      </c>
    </row>
    <row r="268" spans="1:11" x14ac:dyDescent="0.3">
      <c r="B268" s="2" t="s">
        <v>20</v>
      </c>
      <c r="C268" s="2" t="s">
        <v>13</v>
      </c>
      <c r="D268" s="2" t="s">
        <v>17</v>
      </c>
      <c r="E268" s="2" t="s">
        <v>22</v>
      </c>
      <c r="F268" s="2" t="s">
        <v>18</v>
      </c>
      <c r="G268" s="2" t="s">
        <v>19</v>
      </c>
    </row>
    <row r="269" spans="1:11" x14ac:dyDescent="0.3">
      <c r="A269" s="2" t="s">
        <v>54</v>
      </c>
      <c r="B269" s="47"/>
      <c r="C269" s="48"/>
      <c r="D269" s="48"/>
      <c r="E269" s="49"/>
      <c r="F269" s="6">
        <f>+B253</f>
        <v>4.9498776666666661E-2</v>
      </c>
      <c r="G269" s="2"/>
    </row>
    <row r="270" spans="1:11" x14ac:dyDescent="0.3">
      <c r="A270" s="7" t="s">
        <v>26</v>
      </c>
      <c r="B270" s="2">
        <f>+$B$9/10000</f>
        <v>4.2477999999999995E-2</v>
      </c>
      <c r="C270" s="2">
        <v>0.97</v>
      </c>
      <c r="D270" s="2">
        <v>100</v>
      </c>
      <c r="E270" s="2">
        <v>5</v>
      </c>
      <c r="F270" s="6">
        <f t="shared" ref="F270" si="16">+B270*C270*D270/360</f>
        <v>1.144546111111111E-2</v>
      </c>
      <c r="G270" s="6">
        <f t="shared" ref="G270" si="17">+F270/E270</f>
        <v>2.2890922222222219E-3</v>
      </c>
    </row>
    <row r="271" spans="1:11" x14ac:dyDescent="0.3">
      <c r="A271" s="11"/>
      <c r="B271" s="11"/>
      <c r="C271" s="11"/>
      <c r="D271" s="11"/>
      <c r="E271" s="11"/>
      <c r="F271" s="12"/>
      <c r="G271" s="12"/>
    </row>
    <row r="272" spans="1:11" x14ac:dyDescent="0.3">
      <c r="F272" s="2" t="s">
        <v>43</v>
      </c>
      <c r="G272" s="6">
        <f>+F269+G270</f>
        <v>5.178786888888888E-2</v>
      </c>
    </row>
    <row r="273" spans="1:7" x14ac:dyDescent="0.3">
      <c r="A273" s="1" t="s">
        <v>71</v>
      </c>
      <c r="B273" s="1"/>
      <c r="C273" s="1"/>
    </row>
    <row r="274" spans="1:7" x14ac:dyDescent="0.3">
      <c r="A274" s="5" t="s">
        <v>66</v>
      </c>
      <c r="B274" s="14">
        <f>+G272</f>
        <v>5.178786888888888E-2</v>
      </c>
      <c r="C274" t="s">
        <v>15</v>
      </c>
    </row>
    <row r="275" spans="1:7" x14ac:dyDescent="0.3">
      <c r="A275" s="5" t="s">
        <v>56</v>
      </c>
      <c r="B275" s="7">
        <v>0.01</v>
      </c>
    </row>
    <row r="276" spans="1:7" ht="18" x14ac:dyDescent="0.35">
      <c r="A276" s="21" t="s">
        <v>93</v>
      </c>
      <c r="B276" s="15">
        <f>180*PI()/180</f>
        <v>3.1415926535897931</v>
      </c>
      <c r="C276" t="s">
        <v>58</v>
      </c>
    </row>
    <row r="277" spans="1:7" x14ac:dyDescent="0.3">
      <c r="A277" s="5" t="s">
        <v>38</v>
      </c>
      <c r="B277" s="7">
        <v>0.01</v>
      </c>
      <c r="C277" t="s">
        <v>50</v>
      </c>
    </row>
    <row r="278" spans="1:7" x14ac:dyDescent="0.3">
      <c r="A278" s="23" t="s">
        <v>57</v>
      </c>
      <c r="B278" s="22">
        <v>12</v>
      </c>
      <c r="C278" t="s">
        <v>65</v>
      </c>
      <c r="G278" s="13"/>
    </row>
    <row r="280" spans="1:7" x14ac:dyDescent="0.3">
      <c r="A280" s="8" t="s">
        <v>57</v>
      </c>
      <c r="B280" s="2" t="s">
        <v>38</v>
      </c>
      <c r="C280" s="5" t="s">
        <v>39</v>
      </c>
      <c r="D280" s="5" t="s">
        <v>40</v>
      </c>
      <c r="E280" s="5" t="s">
        <v>41</v>
      </c>
      <c r="F280" s="8" t="s">
        <v>67</v>
      </c>
      <c r="G280" s="8" t="s">
        <v>96</v>
      </c>
    </row>
    <row r="281" spans="1:7" x14ac:dyDescent="0.3">
      <c r="A281" s="9">
        <f>+B278*0.0254</f>
        <v>0.30479999999999996</v>
      </c>
      <c r="B281" s="2">
        <f>+B277</f>
        <v>0.01</v>
      </c>
      <c r="C281" s="4">
        <f>+((B276-SIN(B276))*(A281)^2)/8</f>
        <v>3.648293849501983E-2</v>
      </c>
      <c r="D281" s="2">
        <f>+B276*A281/2</f>
        <v>0.47877872040708441</v>
      </c>
      <c r="E281" s="2">
        <f>(1-SIN(B276)/B276)*(A281)/4</f>
        <v>7.619999999999999E-2</v>
      </c>
      <c r="F281" s="9">
        <f>C281*(E281^(2/3))*(B281^(1/2))/B275</f>
        <v>6.5573212178423684E-2</v>
      </c>
      <c r="G281" s="20">
        <f>+B274/C281</f>
        <v>1.4195092562502409</v>
      </c>
    </row>
    <row r="283" spans="1:7" x14ac:dyDescent="0.3">
      <c r="C283" s="1" t="s">
        <v>100</v>
      </c>
      <c r="D283" s="1"/>
      <c r="F283" s="1" t="str">
        <f>+IF(B274&lt;F281,"CUMPLE","NO CUMPLE")</f>
        <v>CUMPLE</v>
      </c>
      <c r="G283" s="1"/>
    </row>
    <row r="284" spans="1:7" x14ac:dyDescent="0.3">
      <c r="C284" s="1" t="s">
        <v>98</v>
      </c>
      <c r="D284" s="1"/>
      <c r="F284" s="1" t="str">
        <f>+IF(G281&lt;5,"CUMPLE","Verificar Diametro")</f>
        <v>CUMPLE</v>
      </c>
      <c r="G284" s="1"/>
    </row>
    <row r="285" spans="1:7" x14ac:dyDescent="0.3">
      <c r="C285" s="1" t="s">
        <v>69</v>
      </c>
      <c r="D285" s="1"/>
    </row>
    <row r="286" spans="1:7" x14ac:dyDescent="0.3">
      <c r="D286" s="27" t="s">
        <v>59</v>
      </c>
      <c r="E286" s="27">
        <f>IF(B274&lt;F281,A281/0.0254,"Modificar Diametro")</f>
        <v>11.999999999999998</v>
      </c>
      <c r="F286" s="27" t="s">
        <v>65</v>
      </c>
    </row>
    <row r="289" spans="1:7" ht="18" x14ac:dyDescent="0.35">
      <c r="A289" s="10" t="s">
        <v>106</v>
      </c>
    </row>
    <row r="290" spans="1:7" x14ac:dyDescent="0.3">
      <c r="B290" s="2" t="s">
        <v>20</v>
      </c>
      <c r="C290" s="2" t="s">
        <v>13</v>
      </c>
      <c r="D290" s="2" t="s">
        <v>17</v>
      </c>
      <c r="E290" s="2" t="s">
        <v>22</v>
      </c>
      <c r="F290" s="2" t="s">
        <v>18</v>
      </c>
      <c r="G290" s="2" t="s">
        <v>19</v>
      </c>
    </row>
    <row r="291" spans="1:7" x14ac:dyDescent="0.3">
      <c r="A291" s="2" t="s">
        <v>54</v>
      </c>
      <c r="B291" s="47"/>
      <c r="C291" s="48"/>
      <c r="D291" s="48"/>
      <c r="E291" s="49"/>
      <c r="F291" s="6">
        <f>+B274</f>
        <v>5.178786888888888E-2</v>
      </c>
      <c r="G291" s="2"/>
    </row>
    <row r="292" spans="1:7" x14ac:dyDescent="0.3">
      <c r="A292" s="7" t="s">
        <v>26</v>
      </c>
      <c r="B292" s="2">
        <f>+$B$9/10000</f>
        <v>4.2477999999999995E-2</v>
      </c>
      <c r="C292" s="2">
        <v>0.97</v>
      </c>
      <c r="D292" s="2">
        <v>100</v>
      </c>
      <c r="E292" s="2">
        <v>5</v>
      </c>
      <c r="F292" s="6">
        <f t="shared" ref="F292:F293" si="18">+B292*C292*D292/360</f>
        <v>1.144546111111111E-2</v>
      </c>
      <c r="G292" s="6">
        <f t="shared" ref="G292" si="19">+F292/E292</f>
        <v>2.2890922222222219E-3</v>
      </c>
    </row>
    <row r="293" spans="1:7" x14ac:dyDescent="0.3">
      <c r="A293" s="3" t="s">
        <v>75</v>
      </c>
      <c r="B293" s="2">
        <f>(4*13.5)/10000</f>
        <v>5.4000000000000003E-3</v>
      </c>
      <c r="C293" s="2">
        <v>0.97</v>
      </c>
      <c r="D293" s="2">
        <v>100</v>
      </c>
      <c r="E293" s="19">
        <v>1</v>
      </c>
      <c r="F293" s="6">
        <f t="shared" si="18"/>
        <v>1.4550000000000001E-3</v>
      </c>
      <c r="G293" s="6"/>
    </row>
    <row r="294" spans="1:7" x14ac:dyDescent="0.3">
      <c r="A294" s="3"/>
      <c r="B294" s="11"/>
      <c r="C294" s="11"/>
      <c r="D294" s="11"/>
      <c r="E294" s="25"/>
      <c r="F294" s="6"/>
      <c r="G294" s="6"/>
    </row>
    <row r="295" spans="1:7" x14ac:dyDescent="0.3">
      <c r="F295" s="2" t="s">
        <v>43</v>
      </c>
      <c r="G295" s="6">
        <f>+F291+G292+F293</f>
        <v>5.5531961111111097E-2</v>
      </c>
    </row>
    <row r="296" spans="1:7" x14ac:dyDescent="0.3">
      <c r="A296" s="1" t="s">
        <v>71</v>
      </c>
      <c r="B296" s="1"/>
      <c r="C296" s="1"/>
    </row>
    <row r="297" spans="1:7" x14ac:dyDescent="0.3">
      <c r="A297" s="5" t="s">
        <v>66</v>
      </c>
      <c r="B297" s="14">
        <f>+G295</f>
        <v>5.5531961111111097E-2</v>
      </c>
      <c r="C297" t="s">
        <v>15</v>
      </c>
    </row>
    <row r="298" spans="1:7" x14ac:dyDescent="0.3">
      <c r="A298" s="5" t="s">
        <v>56</v>
      </c>
      <c r="B298" s="7">
        <v>0.01</v>
      </c>
    </row>
    <row r="299" spans="1:7" ht="18" x14ac:dyDescent="0.35">
      <c r="A299" s="21" t="s">
        <v>93</v>
      </c>
      <c r="B299" s="15">
        <f>180*PI()/180</f>
        <v>3.1415926535897931</v>
      </c>
      <c r="C299" t="s">
        <v>58</v>
      </c>
    </row>
    <row r="300" spans="1:7" x14ac:dyDescent="0.3">
      <c r="A300" s="5" t="s">
        <v>38</v>
      </c>
      <c r="B300" s="7">
        <v>0.01</v>
      </c>
      <c r="C300" t="s">
        <v>50</v>
      </c>
    </row>
    <row r="301" spans="1:7" x14ac:dyDescent="0.3">
      <c r="A301" s="23" t="s">
        <v>57</v>
      </c>
      <c r="B301" s="22">
        <v>12</v>
      </c>
      <c r="C301" t="s">
        <v>65</v>
      </c>
      <c r="G301" s="13"/>
    </row>
    <row r="303" spans="1:7" x14ac:dyDescent="0.3">
      <c r="A303" s="8" t="s">
        <v>57</v>
      </c>
      <c r="B303" s="2" t="s">
        <v>38</v>
      </c>
      <c r="C303" s="5" t="s">
        <v>39</v>
      </c>
      <c r="D303" s="5" t="s">
        <v>40</v>
      </c>
      <c r="E303" s="5" t="s">
        <v>41</v>
      </c>
      <c r="F303" s="8" t="s">
        <v>67</v>
      </c>
      <c r="G303" s="8" t="s">
        <v>96</v>
      </c>
    </row>
    <row r="304" spans="1:7" x14ac:dyDescent="0.3">
      <c r="A304" s="9">
        <f>+B301*0.0254</f>
        <v>0.30479999999999996</v>
      </c>
      <c r="B304" s="2">
        <f>+B300</f>
        <v>0.01</v>
      </c>
      <c r="C304" s="4">
        <f>+((B299-SIN(B299))*(A304)^2)/8</f>
        <v>3.648293849501983E-2</v>
      </c>
      <c r="D304" s="2">
        <f>+B299*A304/2</f>
        <v>0.47877872040708441</v>
      </c>
      <c r="E304" s="2">
        <f>(1-SIN(B299)/B299)*(A304)/4</f>
        <v>7.619999999999999E-2</v>
      </c>
      <c r="F304" s="9">
        <f>C304*(E304^(2/3))*(B304^(1/2))/B298</f>
        <v>6.5573212178423684E-2</v>
      </c>
      <c r="G304" s="20">
        <f>+B297/C304</f>
        <v>1.5221350966203446</v>
      </c>
    </row>
    <row r="306" spans="3:7" x14ac:dyDescent="0.3">
      <c r="C306" s="1" t="s">
        <v>70</v>
      </c>
      <c r="D306" s="1"/>
      <c r="F306" s="1" t="str">
        <f>+IF(B297&lt;F304,"CUMPLE","NO CUMPLE")</f>
        <v>CUMPLE</v>
      </c>
      <c r="G306" s="1"/>
    </row>
    <row r="307" spans="3:7" x14ac:dyDescent="0.3">
      <c r="C307" s="1" t="s">
        <v>98</v>
      </c>
      <c r="D307" s="1"/>
      <c r="F307" s="1" t="str">
        <f>+IF(G304&lt;5,"CUMPLE","Verificar Diametro")</f>
        <v>CUMPLE</v>
      </c>
      <c r="G307" s="1"/>
    </row>
    <row r="308" spans="3:7" x14ac:dyDescent="0.3">
      <c r="C308" s="1" t="s">
        <v>69</v>
      </c>
      <c r="D308" s="1"/>
    </row>
    <row r="309" spans="3:7" x14ac:dyDescent="0.3">
      <c r="D309" s="27" t="s">
        <v>59</v>
      </c>
      <c r="E309" s="27">
        <f>IF(B297&lt;F304,A304/0.0254,"Modificar Diametro")</f>
        <v>11.999999999999998</v>
      </c>
      <c r="F309" s="27" t="s">
        <v>65</v>
      </c>
    </row>
  </sheetData>
  <mergeCells count="10">
    <mergeCell ref="B269:E269"/>
    <mergeCell ref="B291:E291"/>
    <mergeCell ref="B186:E186"/>
    <mergeCell ref="B225:E225"/>
    <mergeCell ref="B247:E247"/>
    <mergeCell ref="B4:C4"/>
    <mergeCell ref="B59:E59"/>
    <mergeCell ref="B121:E121"/>
    <mergeCell ref="B144:E144"/>
    <mergeCell ref="B165:E165"/>
  </mergeCells>
  <phoneticPr fontId="2" type="noConversion"/>
  <conditionalFormatting sqref="I76:J76 I138:J138 I162:J162 I182:J183 I140:J141">
    <cfRule type="cellIs" dxfId="435" priority="74" operator="lessThan">
      <formula>$I$53</formula>
    </cfRule>
  </conditionalFormatting>
  <conditionalFormatting sqref="I53:J53">
    <cfRule type="cellIs" dxfId="434" priority="72" operator="lessThan">
      <formula>$I$53</formula>
    </cfRule>
  </conditionalFormatting>
  <conditionalFormatting sqref="T53">
    <cfRule type="cellIs" dxfId="433" priority="68" operator="lessThan">
      <formula>$I$53</formula>
    </cfRule>
  </conditionalFormatting>
  <conditionalFormatting sqref="I201:J201">
    <cfRule type="cellIs" dxfId="432" priority="60" operator="lessThan">
      <formula>$I$53</formula>
    </cfRule>
  </conditionalFormatting>
  <conditionalFormatting sqref="I220:J220">
    <cfRule type="cellIs" dxfId="431" priority="58" operator="lessThan">
      <formula>$I$53</formula>
    </cfRule>
  </conditionalFormatting>
  <conditionalFormatting sqref="I263:J263">
    <cfRule type="cellIs" dxfId="430" priority="56" operator="lessThan">
      <formula>$I$53</formula>
    </cfRule>
  </conditionalFormatting>
  <conditionalFormatting sqref="I157:J158">
    <cfRule type="cellIs" dxfId="429" priority="50" operator="lessThan">
      <formula>$I$53</formula>
    </cfRule>
  </conditionalFormatting>
  <conditionalFormatting sqref="I178:J179">
    <cfRule type="cellIs" dxfId="428" priority="48" operator="lessThan">
      <formula>$I$53</formula>
    </cfRule>
  </conditionalFormatting>
  <conditionalFormatting sqref="I54:J56">
    <cfRule type="cellIs" dxfId="427" priority="44" operator="lessThan">
      <formula>$I$53</formula>
    </cfRule>
  </conditionalFormatting>
  <conditionalFormatting sqref="I77:J79">
    <cfRule type="cellIs" dxfId="426" priority="42" operator="lessThan">
      <formula>$I$53</formula>
    </cfRule>
  </conditionalFormatting>
  <conditionalFormatting sqref="F179">
    <cfRule type="cellIs" dxfId="425" priority="32" operator="lessThan">
      <formula>$I$53</formula>
    </cfRule>
  </conditionalFormatting>
  <conditionalFormatting sqref="I139:J139">
    <cfRule type="cellIs" dxfId="424" priority="38" operator="lessThan">
      <formula>$I$53</formula>
    </cfRule>
  </conditionalFormatting>
  <conditionalFormatting sqref="F157">
    <cfRule type="cellIs" dxfId="423" priority="36" operator="lessThan">
      <formula>$I$53</formula>
    </cfRule>
  </conditionalFormatting>
  <conditionalFormatting sqref="F158">
    <cfRule type="cellIs" dxfId="422" priority="34" operator="lessThan">
      <formula>$I$53</formula>
    </cfRule>
  </conditionalFormatting>
  <conditionalFormatting sqref="F178">
    <cfRule type="cellIs" dxfId="421" priority="30" operator="lessThan">
      <formula>$I$53</formula>
    </cfRule>
  </conditionalFormatting>
  <conditionalFormatting sqref="I202:J202">
    <cfRule type="cellIs" dxfId="420" priority="28" operator="lessThan">
      <formula>$I$53</formula>
    </cfRule>
  </conditionalFormatting>
  <conditionalFormatting sqref="F240">
    <cfRule type="cellIs" dxfId="419" priority="26" operator="lessThan">
      <formula>$I$53</formula>
    </cfRule>
  </conditionalFormatting>
  <conditionalFormatting sqref="F239">
    <cfRule type="cellIs" dxfId="418" priority="24" operator="lessThan">
      <formula>$I$53</formula>
    </cfRule>
  </conditionalFormatting>
  <conditionalFormatting sqref="I264:J264">
    <cfRule type="cellIs" dxfId="417" priority="22" operator="lessThan">
      <formula>$I$53</formula>
    </cfRule>
  </conditionalFormatting>
  <conditionalFormatting sqref="F284">
    <cfRule type="cellIs" dxfId="416" priority="20" operator="lessThan">
      <formula>$I$53</formula>
    </cfRule>
  </conditionalFormatting>
  <conditionalFormatting sqref="F283">
    <cfRule type="cellIs" dxfId="415" priority="18" operator="lessThan">
      <formula>$I$53</formula>
    </cfRule>
  </conditionalFormatting>
  <conditionalFormatting sqref="F307">
    <cfRule type="cellIs" dxfId="414" priority="16" operator="lessThan">
      <formula>$I$53</formula>
    </cfRule>
  </conditionalFormatting>
  <conditionalFormatting sqref="F306">
    <cfRule type="cellIs" dxfId="413" priority="14" operator="lessThan">
      <formula>$I$53</formula>
    </cfRule>
  </conditionalFormatting>
  <conditionalFormatting sqref="I116:J116">
    <cfRule type="cellIs" dxfId="412" priority="4" operator="lessThan">
      <formula>$I$53</formula>
    </cfRule>
  </conditionalFormatting>
  <conditionalFormatting sqref="I117:J117">
    <cfRule type="cellIs" dxfId="411" priority="2" operator="lessThan">
      <formula>$I$53</formula>
    </cfRule>
  </conditionalFormatting>
  <conditionalFormatting sqref="I96:J96 I99:J99">
    <cfRule type="cellIs" dxfId="410" priority="8" operator="lessThan">
      <formula>$I$53</formula>
    </cfRule>
  </conditionalFormatting>
  <conditionalFormatting sqref="I97:J98">
    <cfRule type="cellIs" dxfId="409" priority="6" operator="lessThan">
      <formula>$I$53</formula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73" operator="containsText" id="{B9B27A30-6B74-4571-9C5F-90FABF96D1F1}">
            <xm:f>NOT(ISERROR(SEARCH($I$53,I76)))</xm:f>
            <xm:f>$I$53</xm:f>
            <x14:dxf>
              <fill>
                <patternFill>
                  <bgColor rgb="FF00B0F0"/>
                </patternFill>
              </fill>
            </x14:dxf>
          </x14:cfRule>
          <xm:sqref>I76:J76 I138:J138 I162:J162 I182:J183 I140:J141</xm:sqref>
        </x14:conditionalFormatting>
        <x14:conditionalFormatting xmlns:xm="http://schemas.microsoft.com/office/excel/2006/main">
          <x14:cfRule type="containsText" priority="71" operator="containsText" id="{132A7C1F-E34B-435F-BA12-570F06452165}">
            <xm:f>NOT(ISERROR(SEARCH($I$53,I53)))</xm:f>
            <xm:f>$I$53</xm:f>
            <x14:dxf>
              <fill>
                <patternFill>
                  <bgColor rgb="FF00B0F0"/>
                </patternFill>
              </fill>
            </x14:dxf>
          </x14:cfRule>
          <xm:sqref>I53:J53</xm:sqref>
        </x14:conditionalFormatting>
        <x14:conditionalFormatting xmlns:xm="http://schemas.microsoft.com/office/excel/2006/main">
          <x14:cfRule type="containsText" priority="67" operator="containsText" id="{53058F63-9BB6-4EA6-96D4-DDFCD5373A11}">
            <xm:f>NOT(ISERROR(SEARCH($I$53,T53)))</xm:f>
            <xm:f>$I$53</xm:f>
            <x14:dxf>
              <fill>
                <patternFill>
                  <bgColor rgb="FF00B0F0"/>
                </patternFill>
              </fill>
            </x14:dxf>
          </x14:cfRule>
          <xm:sqref>T53</xm:sqref>
        </x14:conditionalFormatting>
        <x14:conditionalFormatting xmlns:xm="http://schemas.microsoft.com/office/excel/2006/main">
          <x14:cfRule type="containsText" priority="59" operator="containsText" id="{20AA8CFC-257E-48E3-9BBD-17610E6A3217}">
            <xm:f>NOT(ISERROR(SEARCH($I$53,I201)))</xm:f>
            <xm:f>$I$53</xm:f>
            <x14:dxf>
              <fill>
                <patternFill>
                  <bgColor rgb="FF00B0F0"/>
                </patternFill>
              </fill>
            </x14:dxf>
          </x14:cfRule>
          <xm:sqref>I201:J201</xm:sqref>
        </x14:conditionalFormatting>
        <x14:conditionalFormatting xmlns:xm="http://schemas.microsoft.com/office/excel/2006/main">
          <x14:cfRule type="containsText" priority="57" operator="containsText" id="{09566B34-C8BC-4207-8F0F-22287586F4D8}">
            <xm:f>NOT(ISERROR(SEARCH($I$53,I220)))</xm:f>
            <xm:f>$I$53</xm:f>
            <x14:dxf>
              <fill>
                <patternFill>
                  <bgColor rgb="FF00B0F0"/>
                </patternFill>
              </fill>
            </x14:dxf>
          </x14:cfRule>
          <xm:sqref>I220:J220</xm:sqref>
        </x14:conditionalFormatting>
        <x14:conditionalFormatting xmlns:xm="http://schemas.microsoft.com/office/excel/2006/main">
          <x14:cfRule type="containsText" priority="55" operator="containsText" id="{58EA52D6-D8F1-4586-8627-49BB5B3D67ED}">
            <xm:f>NOT(ISERROR(SEARCH($I$53,I263)))</xm:f>
            <xm:f>$I$53</xm:f>
            <x14:dxf>
              <fill>
                <patternFill>
                  <bgColor rgb="FF00B0F0"/>
                </patternFill>
              </fill>
            </x14:dxf>
          </x14:cfRule>
          <xm:sqref>I263:J263</xm:sqref>
        </x14:conditionalFormatting>
        <x14:conditionalFormatting xmlns:xm="http://schemas.microsoft.com/office/excel/2006/main">
          <x14:cfRule type="containsText" priority="49" operator="containsText" id="{B19CB6D2-F791-4739-81E9-14704F492102}">
            <xm:f>NOT(ISERROR(SEARCH($I$53,I157)))</xm:f>
            <xm:f>$I$53</xm:f>
            <x14:dxf>
              <fill>
                <patternFill>
                  <bgColor rgb="FF00B0F0"/>
                </patternFill>
              </fill>
            </x14:dxf>
          </x14:cfRule>
          <xm:sqref>I157:J158</xm:sqref>
        </x14:conditionalFormatting>
        <x14:conditionalFormatting xmlns:xm="http://schemas.microsoft.com/office/excel/2006/main">
          <x14:cfRule type="containsText" priority="47" operator="containsText" id="{BE70D887-03E3-49EB-B717-D1CF5FC1944C}">
            <xm:f>NOT(ISERROR(SEARCH($I$53,I178)))</xm:f>
            <xm:f>$I$53</xm:f>
            <x14:dxf>
              <fill>
                <patternFill>
                  <bgColor rgb="FF00B0F0"/>
                </patternFill>
              </fill>
            </x14:dxf>
          </x14:cfRule>
          <xm:sqref>I178:J179</xm:sqref>
        </x14:conditionalFormatting>
        <x14:conditionalFormatting xmlns:xm="http://schemas.microsoft.com/office/excel/2006/main">
          <x14:cfRule type="containsText" priority="43" operator="containsText" id="{DC7D3C24-032F-47FA-BAC2-D2D2E3E95266}">
            <xm:f>NOT(ISERROR(SEARCH($I$53,I54)))</xm:f>
            <xm:f>$I$53</xm:f>
            <x14:dxf>
              <fill>
                <patternFill>
                  <bgColor rgb="FF00B0F0"/>
                </patternFill>
              </fill>
            </x14:dxf>
          </x14:cfRule>
          <xm:sqref>I54:J56</xm:sqref>
        </x14:conditionalFormatting>
        <x14:conditionalFormatting xmlns:xm="http://schemas.microsoft.com/office/excel/2006/main">
          <x14:cfRule type="containsText" priority="41" operator="containsText" id="{B0B070EF-25B5-4E86-831F-27E37154BF2A}">
            <xm:f>NOT(ISERROR(SEARCH($I$53,I77)))</xm:f>
            <xm:f>$I$53</xm:f>
            <x14:dxf>
              <fill>
                <patternFill>
                  <bgColor rgb="FF00B0F0"/>
                </patternFill>
              </fill>
            </x14:dxf>
          </x14:cfRule>
          <xm:sqref>I77:J79</xm:sqref>
        </x14:conditionalFormatting>
        <x14:conditionalFormatting xmlns:xm="http://schemas.microsoft.com/office/excel/2006/main">
          <x14:cfRule type="containsText" priority="31" operator="containsText" id="{44E0F0A6-049E-409C-8328-086BDDDC643A}">
            <xm:f>NOT(ISERROR(SEARCH($I$53,F179)))</xm:f>
            <xm:f>$I$53</xm:f>
            <x14:dxf>
              <fill>
                <patternFill>
                  <bgColor rgb="FF00B0F0"/>
                </patternFill>
              </fill>
            </x14:dxf>
          </x14:cfRule>
          <xm:sqref>F179</xm:sqref>
        </x14:conditionalFormatting>
        <x14:conditionalFormatting xmlns:xm="http://schemas.microsoft.com/office/excel/2006/main">
          <x14:cfRule type="containsText" priority="37" operator="containsText" id="{55309EF6-3406-4843-80D6-8EC845B5BD8B}">
            <xm:f>NOT(ISERROR(SEARCH($I$53,I139)))</xm:f>
            <xm:f>$I$53</xm:f>
            <x14:dxf>
              <fill>
                <patternFill>
                  <bgColor rgb="FF00B0F0"/>
                </patternFill>
              </fill>
            </x14:dxf>
          </x14:cfRule>
          <xm:sqref>I139:J139</xm:sqref>
        </x14:conditionalFormatting>
        <x14:conditionalFormatting xmlns:xm="http://schemas.microsoft.com/office/excel/2006/main">
          <x14:cfRule type="containsText" priority="35" operator="containsText" id="{783A291D-9F5C-4EAA-B72E-27608867A4BE}">
            <xm:f>NOT(ISERROR(SEARCH($I$53,F157)))</xm:f>
            <xm:f>$I$53</xm:f>
            <x14:dxf>
              <fill>
                <patternFill>
                  <bgColor rgb="FF00B0F0"/>
                </patternFill>
              </fill>
            </x14:dxf>
          </x14:cfRule>
          <xm:sqref>F157</xm:sqref>
        </x14:conditionalFormatting>
        <x14:conditionalFormatting xmlns:xm="http://schemas.microsoft.com/office/excel/2006/main">
          <x14:cfRule type="containsText" priority="33" operator="containsText" id="{EC47EC63-684C-48A4-9EE9-29C36D42525A}">
            <xm:f>NOT(ISERROR(SEARCH($I$53,F158)))</xm:f>
            <xm:f>$I$53</xm:f>
            <x14:dxf>
              <fill>
                <patternFill>
                  <bgColor rgb="FF00B0F0"/>
                </patternFill>
              </fill>
            </x14:dxf>
          </x14:cfRule>
          <xm:sqref>F158</xm:sqref>
        </x14:conditionalFormatting>
        <x14:conditionalFormatting xmlns:xm="http://schemas.microsoft.com/office/excel/2006/main">
          <x14:cfRule type="containsText" priority="29" operator="containsText" id="{4537ABE3-28E6-454B-B644-1C4D2EAEE7E0}">
            <xm:f>NOT(ISERROR(SEARCH($I$53,F178)))</xm:f>
            <xm:f>$I$53</xm:f>
            <x14:dxf>
              <fill>
                <patternFill>
                  <bgColor rgb="FF00B0F0"/>
                </patternFill>
              </fill>
            </x14:dxf>
          </x14:cfRule>
          <xm:sqref>F178</xm:sqref>
        </x14:conditionalFormatting>
        <x14:conditionalFormatting xmlns:xm="http://schemas.microsoft.com/office/excel/2006/main">
          <x14:cfRule type="containsText" priority="27" operator="containsText" id="{3C363BCD-1AF2-4141-BE1D-2C5FEA368CAB}">
            <xm:f>NOT(ISERROR(SEARCH($I$53,I202)))</xm:f>
            <xm:f>$I$53</xm:f>
            <x14:dxf>
              <fill>
                <patternFill>
                  <bgColor rgb="FF00B0F0"/>
                </patternFill>
              </fill>
            </x14:dxf>
          </x14:cfRule>
          <xm:sqref>I202:J202</xm:sqref>
        </x14:conditionalFormatting>
        <x14:conditionalFormatting xmlns:xm="http://schemas.microsoft.com/office/excel/2006/main">
          <x14:cfRule type="containsText" priority="25" operator="containsText" id="{082FC94C-3960-46A5-8CFE-81567E3C6F16}">
            <xm:f>NOT(ISERROR(SEARCH($I$53,F240)))</xm:f>
            <xm:f>$I$53</xm:f>
            <x14:dxf>
              <fill>
                <patternFill>
                  <bgColor rgb="FF00B0F0"/>
                </patternFill>
              </fill>
            </x14:dxf>
          </x14:cfRule>
          <xm:sqref>F240</xm:sqref>
        </x14:conditionalFormatting>
        <x14:conditionalFormatting xmlns:xm="http://schemas.microsoft.com/office/excel/2006/main">
          <x14:cfRule type="containsText" priority="23" operator="containsText" id="{10F60309-D3DB-43DD-B8EC-D003FA076681}">
            <xm:f>NOT(ISERROR(SEARCH($I$53,F239)))</xm:f>
            <xm:f>$I$53</xm:f>
            <x14:dxf>
              <fill>
                <patternFill>
                  <bgColor rgb="FF00B0F0"/>
                </patternFill>
              </fill>
            </x14:dxf>
          </x14:cfRule>
          <xm:sqref>F239</xm:sqref>
        </x14:conditionalFormatting>
        <x14:conditionalFormatting xmlns:xm="http://schemas.microsoft.com/office/excel/2006/main">
          <x14:cfRule type="containsText" priority="21" operator="containsText" id="{E6B828AA-76F7-4D6C-93E9-83403847878B}">
            <xm:f>NOT(ISERROR(SEARCH($I$53,I264)))</xm:f>
            <xm:f>$I$53</xm:f>
            <x14:dxf>
              <fill>
                <patternFill>
                  <bgColor rgb="FF00B0F0"/>
                </patternFill>
              </fill>
            </x14:dxf>
          </x14:cfRule>
          <xm:sqref>I264:J264</xm:sqref>
        </x14:conditionalFormatting>
        <x14:conditionalFormatting xmlns:xm="http://schemas.microsoft.com/office/excel/2006/main">
          <x14:cfRule type="containsText" priority="19" operator="containsText" id="{906F0405-384A-41AA-818A-1AFED68E72B5}">
            <xm:f>NOT(ISERROR(SEARCH($I$53,F284)))</xm:f>
            <xm:f>$I$53</xm:f>
            <x14:dxf>
              <fill>
                <patternFill>
                  <bgColor rgb="FF00B0F0"/>
                </patternFill>
              </fill>
            </x14:dxf>
          </x14:cfRule>
          <xm:sqref>F284</xm:sqref>
        </x14:conditionalFormatting>
        <x14:conditionalFormatting xmlns:xm="http://schemas.microsoft.com/office/excel/2006/main">
          <x14:cfRule type="containsText" priority="17" operator="containsText" id="{2214FF19-57D8-449D-B95C-69A1FA6C1B94}">
            <xm:f>NOT(ISERROR(SEARCH($I$53,F283)))</xm:f>
            <xm:f>$I$53</xm:f>
            <x14:dxf>
              <fill>
                <patternFill>
                  <bgColor rgb="FF00B0F0"/>
                </patternFill>
              </fill>
            </x14:dxf>
          </x14:cfRule>
          <xm:sqref>F283</xm:sqref>
        </x14:conditionalFormatting>
        <x14:conditionalFormatting xmlns:xm="http://schemas.microsoft.com/office/excel/2006/main">
          <x14:cfRule type="containsText" priority="15" operator="containsText" id="{83443BFC-E941-4476-8CFA-4E8AB7C6DF5D}">
            <xm:f>NOT(ISERROR(SEARCH($I$53,F307)))</xm:f>
            <xm:f>$I$53</xm:f>
            <x14:dxf>
              <fill>
                <patternFill>
                  <bgColor rgb="FF00B0F0"/>
                </patternFill>
              </fill>
            </x14:dxf>
          </x14:cfRule>
          <xm:sqref>F307</xm:sqref>
        </x14:conditionalFormatting>
        <x14:conditionalFormatting xmlns:xm="http://schemas.microsoft.com/office/excel/2006/main">
          <x14:cfRule type="containsText" priority="13" operator="containsText" id="{11709C74-991D-477F-9C74-491911071052}">
            <xm:f>NOT(ISERROR(SEARCH($I$53,F306)))</xm:f>
            <xm:f>$I$53</xm:f>
            <x14:dxf>
              <fill>
                <patternFill>
                  <bgColor rgb="FF00B0F0"/>
                </patternFill>
              </fill>
            </x14:dxf>
          </x14:cfRule>
          <xm:sqref>F306</xm:sqref>
        </x14:conditionalFormatting>
        <x14:conditionalFormatting xmlns:xm="http://schemas.microsoft.com/office/excel/2006/main">
          <x14:cfRule type="containsText" priority="3" operator="containsText" id="{CB55F7F4-ED22-475D-8DAB-84484013C817}">
            <xm:f>NOT(ISERROR(SEARCH($I$53,I116)))</xm:f>
            <xm:f>$I$53</xm:f>
            <x14:dxf>
              <fill>
                <patternFill>
                  <bgColor rgb="FF00B0F0"/>
                </patternFill>
              </fill>
            </x14:dxf>
          </x14:cfRule>
          <xm:sqref>I116:J116</xm:sqref>
        </x14:conditionalFormatting>
        <x14:conditionalFormatting xmlns:xm="http://schemas.microsoft.com/office/excel/2006/main">
          <x14:cfRule type="containsText" priority="1" operator="containsText" id="{BD06CDA7-05C1-406C-AD8D-9D87F1E1D218}">
            <xm:f>NOT(ISERROR(SEARCH($I$53,I117)))</xm:f>
            <xm:f>$I$53</xm:f>
            <x14:dxf>
              <fill>
                <patternFill>
                  <bgColor rgb="FF00B0F0"/>
                </patternFill>
              </fill>
            </x14:dxf>
          </x14:cfRule>
          <xm:sqref>I117:J117</xm:sqref>
        </x14:conditionalFormatting>
        <x14:conditionalFormatting xmlns:xm="http://schemas.microsoft.com/office/excel/2006/main">
          <x14:cfRule type="containsText" priority="7" operator="containsText" id="{687DE001-2707-4114-8DED-5A234B1EDB62}">
            <xm:f>NOT(ISERROR(SEARCH($I$53,I96)))</xm:f>
            <xm:f>$I$53</xm:f>
            <x14:dxf>
              <fill>
                <patternFill>
                  <bgColor rgb="FF00B0F0"/>
                </patternFill>
              </fill>
            </x14:dxf>
          </x14:cfRule>
          <xm:sqref>I96:J96 I99:J99</xm:sqref>
        </x14:conditionalFormatting>
        <x14:conditionalFormatting xmlns:xm="http://schemas.microsoft.com/office/excel/2006/main">
          <x14:cfRule type="containsText" priority="5" operator="containsText" id="{F8802075-D0A1-4AF7-864B-2610C3EEFC4A}">
            <xm:f>NOT(ISERROR(SEARCH($I$53,I97)))</xm:f>
            <xm:f>$I$53</xm:f>
            <x14:dxf>
              <fill>
                <patternFill>
                  <bgColor rgb="FF00B0F0"/>
                </patternFill>
              </fill>
            </x14:dxf>
          </x14:cfRule>
          <xm:sqref>I97:J98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A2:K584"/>
  <sheetViews>
    <sheetView topLeftCell="A562" zoomScale="70" zoomScaleNormal="70" workbookViewId="0">
      <selection activeCell="A546" sqref="A546"/>
    </sheetView>
  </sheetViews>
  <sheetFormatPr baseColWidth="10" defaultRowHeight="14.4" x14ac:dyDescent="0.3"/>
  <cols>
    <col min="1" max="1" width="29.109375" bestFit="1" customWidth="1"/>
    <col min="2" max="2" width="19.109375" customWidth="1"/>
    <col min="3" max="3" width="13.44140625" bestFit="1" customWidth="1"/>
    <col min="4" max="4" width="12.5546875" customWidth="1"/>
    <col min="5" max="5" width="17" customWidth="1"/>
    <col min="6" max="6" width="14.6640625" customWidth="1"/>
    <col min="7" max="8" width="19.6640625" customWidth="1"/>
    <col min="12" max="12" width="14.109375" customWidth="1"/>
  </cols>
  <sheetData>
    <row r="2" spans="1:3" ht="18" x14ac:dyDescent="0.35">
      <c r="A2" s="10" t="s">
        <v>76</v>
      </c>
    </row>
    <row r="4" spans="1:3" x14ac:dyDescent="0.3">
      <c r="A4" s="29" t="s">
        <v>1</v>
      </c>
      <c r="B4" s="45" t="s">
        <v>16</v>
      </c>
      <c r="C4" s="46"/>
    </row>
    <row r="5" spans="1:3" x14ac:dyDescent="0.3">
      <c r="A5" s="7" t="s">
        <v>0</v>
      </c>
      <c r="B5" s="2">
        <v>76.27</v>
      </c>
      <c r="C5" s="2" t="s">
        <v>14</v>
      </c>
    </row>
    <row r="6" spans="1:3" x14ac:dyDescent="0.3">
      <c r="A6" s="7" t="s">
        <v>2</v>
      </c>
      <c r="B6" s="2">
        <v>334.08</v>
      </c>
      <c r="C6" s="2" t="s">
        <v>14</v>
      </c>
    </row>
    <row r="7" spans="1:3" x14ac:dyDescent="0.3">
      <c r="A7" s="7" t="s">
        <v>3</v>
      </c>
      <c r="B7" s="2">
        <v>47.84</v>
      </c>
      <c r="C7" s="2" t="s">
        <v>14</v>
      </c>
    </row>
    <row r="8" spans="1:3" x14ac:dyDescent="0.3">
      <c r="A8" s="7" t="s">
        <v>4</v>
      </c>
      <c r="B8" s="2">
        <v>359.24</v>
      </c>
      <c r="C8" s="2" t="s">
        <v>14</v>
      </c>
    </row>
    <row r="9" spans="1:3" x14ac:dyDescent="0.3">
      <c r="A9" s="7" t="s">
        <v>5</v>
      </c>
      <c r="B9" s="2">
        <v>424.78</v>
      </c>
      <c r="C9" s="2" t="s">
        <v>14</v>
      </c>
    </row>
    <row r="10" spans="1:3" x14ac:dyDescent="0.3">
      <c r="A10" s="7" t="s">
        <v>6</v>
      </c>
      <c r="B10" s="2">
        <v>219.73</v>
      </c>
      <c r="C10" s="2" t="s">
        <v>14</v>
      </c>
    </row>
    <row r="11" spans="1:3" x14ac:dyDescent="0.3">
      <c r="A11" s="7" t="s">
        <v>7</v>
      </c>
      <c r="B11" s="2">
        <v>47.95</v>
      </c>
      <c r="C11" s="2" t="s">
        <v>14</v>
      </c>
    </row>
    <row r="12" spans="1:3" x14ac:dyDescent="0.3">
      <c r="A12" s="7" t="s">
        <v>8</v>
      </c>
      <c r="B12" s="2">
        <v>212.74</v>
      </c>
      <c r="C12" s="2" t="s">
        <v>14</v>
      </c>
    </row>
    <row r="13" spans="1:3" x14ac:dyDescent="0.3">
      <c r="A13" s="7" t="s">
        <v>9</v>
      </c>
      <c r="B13" s="2">
        <v>128.44</v>
      </c>
      <c r="C13" s="2" t="s">
        <v>14</v>
      </c>
    </row>
    <row r="14" spans="1:3" x14ac:dyDescent="0.3">
      <c r="A14" s="7" t="s">
        <v>10</v>
      </c>
      <c r="B14" s="2">
        <v>334.08</v>
      </c>
      <c r="C14" s="2" t="s">
        <v>14</v>
      </c>
    </row>
    <row r="15" spans="1:3" x14ac:dyDescent="0.3">
      <c r="A15" s="7" t="s">
        <v>11</v>
      </c>
      <c r="B15" s="2">
        <v>147.75</v>
      </c>
      <c r="C15" s="2" t="s">
        <v>14</v>
      </c>
    </row>
    <row r="18" spans="1:8" x14ac:dyDescent="0.3">
      <c r="A18" s="1" t="s">
        <v>21</v>
      </c>
    </row>
    <row r="20" spans="1:8" x14ac:dyDescent="0.3">
      <c r="B20" s="2" t="s">
        <v>20</v>
      </c>
      <c r="C20" s="2" t="s">
        <v>13</v>
      </c>
      <c r="D20" s="2" t="s">
        <v>17</v>
      </c>
      <c r="E20" s="2" t="s">
        <v>22</v>
      </c>
      <c r="F20" s="2" t="s">
        <v>18</v>
      </c>
      <c r="G20" s="2" t="s">
        <v>19</v>
      </c>
      <c r="H20" s="11"/>
    </row>
    <row r="21" spans="1:8" x14ac:dyDescent="0.3">
      <c r="A21" s="7" t="s">
        <v>12</v>
      </c>
      <c r="B21" s="2">
        <f>+$B$5/10000</f>
        <v>7.6269999999999992E-3</v>
      </c>
      <c r="C21" s="2">
        <v>0.97</v>
      </c>
      <c r="D21" s="2">
        <v>100</v>
      </c>
      <c r="E21" s="2">
        <v>1</v>
      </c>
      <c r="F21" s="6">
        <f>+B21*C21*D21/360</f>
        <v>2.0550527777777774E-3</v>
      </c>
      <c r="G21" s="6">
        <f>+F21/E21</f>
        <v>2.0550527777777774E-3</v>
      </c>
      <c r="H21" s="12"/>
    </row>
    <row r="22" spans="1:8" x14ac:dyDescent="0.3">
      <c r="A22" s="7" t="s">
        <v>23</v>
      </c>
      <c r="B22" s="2">
        <f>+$B$6/10000</f>
        <v>3.3408E-2</v>
      </c>
      <c r="C22" s="2">
        <v>0.97</v>
      </c>
      <c r="D22" s="2">
        <v>100</v>
      </c>
      <c r="E22" s="2">
        <v>7</v>
      </c>
      <c r="F22" s="6">
        <f t="shared" ref="F22:F31" si="0">+B22*C22*D22/360</f>
        <v>9.0016000000000002E-3</v>
      </c>
      <c r="G22" s="6">
        <f t="shared" ref="G22:G31" si="1">+F22/E22</f>
        <v>1.2859428571428571E-3</v>
      </c>
      <c r="H22" s="12"/>
    </row>
    <row r="23" spans="1:8" x14ac:dyDescent="0.3">
      <c r="A23" s="7" t="s">
        <v>24</v>
      </c>
      <c r="B23" s="2">
        <f>+$B$7/10000</f>
        <v>4.7840000000000001E-3</v>
      </c>
      <c r="C23" s="2">
        <v>0.97</v>
      </c>
      <c r="D23" s="2">
        <v>100</v>
      </c>
      <c r="E23" s="2">
        <v>1</v>
      </c>
      <c r="F23" s="6">
        <f t="shared" si="0"/>
        <v>1.2890222222222221E-3</v>
      </c>
      <c r="G23" s="6">
        <f t="shared" si="1"/>
        <v>1.2890222222222221E-3</v>
      </c>
      <c r="H23" s="12"/>
    </row>
    <row r="24" spans="1:8" x14ac:dyDescent="0.3">
      <c r="A24" s="7" t="s">
        <v>25</v>
      </c>
      <c r="B24" s="2">
        <f>+$B$8/10000</f>
        <v>3.5923999999999998E-2</v>
      </c>
      <c r="C24" s="2">
        <v>0.97</v>
      </c>
      <c r="D24" s="2">
        <v>100</v>
      </c>
      <c r="E24" s="2">
        <v>3</v>
      </c>
      <c r="F24" s="6">
        <f t="shared" si="0"/>
        <v>9.679522222222221E-3</v>
      </c>
      <c r="G24" s="6">
        <f t="shared" si="1"/>
        <v>3.2265074074074068E-3</v>
      </c>
      <c r="H24" s="12"/>
    </row>
    <row r="25" spans="1:8" x14ac:dyDescent="0.3">
      <c r="A25" s="7" t="s">
        <v>26</v>
      </c>
      <c r="B25" s="2">
        <f>+$B$9/10000</f>
        <v>4.2477999999999995E-2</v>
      </c>
      <c r="C25" s="2">
        <v>0.97</v>
      </c>
      <c r="D25" s="2">
        <v>100</v>
      </c>
      <c r="E25" s="2">
        <v>5</v>
      </c>
      <c r="F25" s="6">
        <f t="shared" si="0"/>
        <v>1.144546111111111E-2</v>
      </c>
      <c r="G25" s="6">
        <f t="shared" si="1"/>
        <v>2.2890922222222219E-3</v>
      </c>
      <c r="H25" s="12"/>
    </row>
    <row r="26" spans="1:8" x14ac:dyDescent="0.3">
      <c r="A26" s="7" t="s">
        <v>27</v>
      </c>
      <c r="B26" s="2">
        <f>+$B$10/10000</f>
        <v>2.1972999999999999E-2</v>
      </c>
      <c r="C26" s="2">
        <v>0.97</v>
      </c>
      <c r="D26" s="2">
        <v>100</v>
      </c>
      <c r="E26" s="2">
        <v>5</v>
      </c>
      <c r="F26" s="6">
        <f t="shared" si="0"/>
        <v>5.9205027777777773E-3</v>
      </c>
      <c r="G26" s="6">
        <f t="shared" si="1"/>
        <v>1.1841005555555555E-3</v>
      </c>
      <c r="H26" s="12"/>
    </row>
    <row r="27" spans="1:8" x14ac:dyDescent="0.3">
      <c r="A27" s="7" t="s">
        <v>28</v>
      </c>
      <c r="B27" s="2">
        <f>+$B$11/10000</f>
        <v>4.7950000000000007E-3</v>
      </c>
      <c r="C27" s="2">
        <v>0.97</v>
      </c>
      <c r="D27" s="2">
        <v>100</v>
      </c>
      <c r="E27" s="2">
        <v>1</v>
      </c>
      <c r="F27" s="6">
        <f t="shared" si="0"/>
        <v>1.2919861111111114E-3</v>
      </c>
      <c r="G27" s="6">
        <f t="shared" si="1"/>
        <v>1.2919861111111114E-3</v>
      </c>
      <c r="H27" s="12"/>
    </row>
    <row r="28" spans="1:8" x14ac:dyDescent="0.3">
      <c r="A28" s="7" t="s">
        <v>29</v>
      </c>
      <c r="B28" s="2">
        <f>+$B$12/10000</f>
        <v>2.1274000000000001E-2</v>
      </c>
      <c r="C28" s="2">
        <v>0.97</v>
      </c>
      <c r="D28" s="2">
        <v>100</v>
      </c>
      <c r="E28" s="2">
        <v>5</v>
      </c>
      <c r="F28" s="6">
        <f t="shared" si="0"/>
        <v>5.7321611111111111E-3</v>
      </c>
      <c r="G28" s="6">
        <f t="shared" si="1"/>
        <v>1.1464322222222221E-3</v>
      </c>
      <c r="H28" s="12"/>
    </row>
    <row r="29" spans="1:8" x14ac:dyDescent="0.3">
      <c r="A29" s="7" t="s">
        <v>30</v>
      </c>
      <c r="B29" s="2">
        <f>+$B$13/10000</f>
        <v>1.2844E-2</v>
      </c>
      <c r="C29" s="2">
        <v>0.97</v>
      </c>
      <c r="D29" s="2">
        <v>100</v>
      </c>
      <c r="E29" s="2">
        <v>2</v>
      </c>
      <c r="F29" s="6">
        <f t="shared" si="0"/>
        <v>3.4607444444444443E-3</v>
      </c>
      <c r="G29" s="6">
        <f t="shared" si="1"/>
        <v>1.7303722222222222E-3</v>
      </c>
      <c r="H29" s="12"/>
    </row>
    <row r="30" spans="1:8" x14ac:dyDescent="0.3">
      <c r="A30" s="7" t="s">
        <v>31</v>
      </c>
      <c r="B30" s="2">
        <f>+$B$14/10000</f>
        <v>3.3408E-2</v>
      </c>
      <c r="C30" s="2">
        <v>0.97</v>
      </c>
      <c r="D30" s="2">
        <v>100</v>
      </c>
      <c r="E30" s="2">
        <v>7</v>
      </c>
      <c r="F30" s="6">
        <f t="shared" si="0"/>
        <v>9.0016000000000002E-3</v>
      </c>
      <c r="G30" s="6">
        <f t="shared" si="1"/>
        <v>1.2859428571428571E-3</v>
      </c>
      <c r="H30" s="12"/>
    </row>
    <row r="31" spans="1:8" x14ac:dyDescent="0.3">
      <c r="A31" s="7" t="s">
        <v>32</v>
      </c>
      <c r="B31" s="2">
        <f>+$B$15/10000</f>
        <v>1.4775E-2</v>
      </c>
      <c r="C31" s="2">
        <v>0.97</v>
      </c>
      <c r="D31" s="2">
        <v>100</v>
      </c>
      <c r="E31" s="2">
        <v>2</v>
      </c>
      <c r="F31" s="6">
        <f t="shared" si="0"/>
        <v>3.9810416666666666E-3</v>
      </c>
      <c r="G31" s="6">
        <f t="shared" si="1"/>
        <v>1.9905208333333333E-3</v>
      </c>
      <c r="H31" s="12"/>
    </row>
    <row r="32" spans="1:8" x14ac:dyDescent="0.3">
      <c r="E32" s="30" t="s">
        <v>95</v>
      </c>
      <c r="F32" s="6">
        <f>SUM(F21:F31)</f>
        <v>6.2858694444444446E-2</v>
      </c>
    </row>
    <row r="35" spans="1:8" ht="18" x14ac:dyDescent="0.35">
      <c r="A35" s="10" t="s">
        <v>84</v>
      </c>
    </row>
    <row r="36" spans="1:8" x14ac:dyDescent="0.3">
      <c r="B36" s="2" t="s">
        <v>20</v>
      </c>
      <c r="C36" s="2" t="s">
        <v>13</v>
      </c>
      <c r="D36" s="2" t="s">
        <v>17</v>
      </c>
      <c r="E36" s="2" t="s">
        <v>22</v>
      </c>
      <c r="F36" s="2" t="s">
        <v>18</v>
      </c>
      <c r="G36" s="2" t="s">
        <v>19</v>
      </c>
      <c r="H36" s="11"/>
    </row>
    <row r="37" spans="1:8" x14ac:dyDescent="0.3">
      <c r="A37" s="7" t="s">
        <v>27</v>
      </c>
      <c r="B37" s="2">
        <f>+$B$10/10000</f>
        <v>2.1972999999999999E-2</v>
      </c>
      <c r="C37" s="2">
        <v>0.97</v>
      </c>
      <c r="D37" s="2">
        <v>100</v>
      </c>
      <c r="E37" s="2"/>
      <c r="F37" s="6">
        <f>+B37*C37*D37/360</f>
        <v>5.9205027777777773E-3</v>
      </c>
      <c r="G37" s="6"/>
      <c r="H37" s="12"/>
    </row>
    <row r="38" spans="1:8" x14ac:dyDescent="0.3">
      <c r="A38" s="2" t="s">
        <v>77</v>
      </c>
      <c r="B38" s="2">
        <f>30*1.25/10000</f>
        <v>3.7499999999999999E-3</v>
      </c>
      <c r="C38" s="2">
        <v>0.97</v>
      </c>
      <c r="D38" s="2">
        <v>100</v>
      </c>
      <c r="E38" s="2"/>
      <c r="F38" s="6">
        <f t="shared" ref="F38" si="2">+B38*C38*D38/360</f>
        <v>1.0104166666666666E-3</v>
      </c>
      <c r="G38" s="6"/>
      <c r="H38" s="12"/>
    </row>
    <row r="39" spans="1:8" x14ac:dyDescent="0.3">
      <c r="A39" s="11"/>
      <c r="B39" s="11"/>
      <c r="C39" s="11"/>
      <c r="D39" s="11"/>
      <c r="E39" s="11"/>
      <c r="F39" s="12"/>
      <c r="G39" s="12"/>
      <c r="H39" s="12"/>
    </row>
    <row r="40" spans="1:8" x14ac:dyDescent="0.3">
      <c r="F40" s="2" t="s">
        <v>43</v>
      </c>
      <c r="G40" s="6">
        <f>+F37+F38</f>
        <v>6.9309194444444437E-3</v>
      </c>
      <c r="H40" s="12"/>
    </row>
    <row r="41" spans="1:8" x14ac:dyDescent="0.3">
      <c r="A41" s="1" t="s">
        <v>33</v>
      </c>
      <c r="B41" s="1"/>
      <c r="C41" s="1"/>
    </row>
    <row r="42" spans="1:8" x14ac:dyDescent="0.3">
      <c r="A42" s="5" t="s">
        <v>34</v>
      </c>
      <c r="B42" s="14">
        <f>+G40</f>
        <v>6.9309194444444437E-3</v>
      </c>
      <c r="C42" t="s">
        <v>15</v>
      </c>
    </row>
    <row r="43" spans="1:8" x14ac:dyDescent="0.3">
      <c r="A43" s="5" t="s">
        <v>44</v>
      </c>
      <c r="B43" s="7">
        <v>1.2999999999999999E-2</v>
      </c>
    </row>
    <row r="44" spans="1:8" x14ac:dyDescent="0.3">
      <c r="A44" s="5" t="s">
        <v>35</v>
      </c>
      <c r="B44" s="7">
        <v>0</v>
      </c>
    </row>
    <row r="45" spans="1:8" x14ac:dyDescent="0.3">
      <c r="A45" s="5" t="s">
        <v>36</v>
      </c>
      <c r="B45" s="7">
        <v>0.2</v>
      </c>
      <c r="C45" t="s">
        <v>49</v>
      </c>
    </row>
    <row r="46" spans="1:8" x14ac:dyDescent="0.3">
      <c r="A46" s="5" t="s">
        <v>38</v>
      </c>
      <c r="B46" s="7">
        <v>5.0000000000000001E-3</v>
      </c>
      <c r="C46" t="s">
        <v>50</v>
      </c>
    </row>
    <row r="47" spans="1:8" x14ac:dyDescent="0.3">
      <c r="A47" s="5" t="s">
        <v>48</v>
      </c>
      <c r="B47" s="7">
        <v>0.31</v>
      </c>
      <c r="C47" t="s">
        <v>49</v>
      </c>
      <c r="G47" s="13"/>
      <c r="H47" s="13"/>
    </row>
    <row r="49" spans="1:11" x14ac:dyDescent="0.3">
      <c r="A49" s="8" t="s">
        <v>37</v>
      </c>
      <c r="B49" s="2" t="s">
        <v>38</v>
      </c>
      <c r="C49" s="5" t="s">
        <v>39</v>
      </c>
      <c r="D49" s="5" t="s">
        <v>40</v>
      </c>
      <c r="E49" s="5" t="s">
        <v>41</v>
      </c>
      <c r="F49" s="5" t="s">
        <v>34</v>
      </c>
      <c r="G49" s="17" t="s">
        <v>45</v>
      </c>
      <c r="H49" s="8" t="s">
        <v>60</v>
      </c>
      <c r="I49" s="17" t="s">
        <v>46</v>
      </c>
      <c r="J49" s="8" t="s">
        <v>101</v>
      </c>
      <c r="K49" s="8" t="s">
        <v>96</v>
      </c>
    </row>
    <row r="50" spans="1:11" x14ac:dyDescent="0.3">
      <c r="A50" s="9">
        <v>6.2994634004901268E-2</v>
      </c>
      <c r="B50" s="4">
        <f>+B46</f>
        <v>5.0000000000000001E-3</v>
      </c>
      <c r="C50" s="2">
        <f>+A50*B45</f>
        <v>1.2598926800980254E-2</v>
      </c>
      <c r="D50" s="2">
        <f>+B45+2*A50</f>
        <v>0.32598926800980255</v>
      </c>
      <c r="E50" s="2">
        <f>C50/D50</f>
        <v>3.8648287036864667E-2</v>
      </c>
      <c r="F50" s="2">
        <f>C50*(E50^(2/3))*(B50^(1/2))/B43</f>
        <v>7.8336116176969152E-3</v>
      </c>
      <c r="G50" s="31">
        <f>ROUND(A50,2)</f>
        <v>0.06</v>
      </c>
      <c r="H50" s="20">
        <f>+ROUND(G50,4)*100</f>
        <v>6</v>
      </c>
      <c r="I50" s="2">
        <f>4/5*B47</f>
        <v>0.248</v>
      </c>
      <c r="J50" s="9">
        <f>+(B47-G50)*100</f>
        <v>25</v>
      </c>
      <c r="K50" s="20">
        <f>+B42/C50</f>
        <v>0.55011982797655323</v>
      </c>
    </row>
    <row r="52" spans="1:11" x14ac:dyDescent="0.3">
      <c r="F52" s="1" t="s">
        <v>47</v>
      </c>
      <c r="G52" s="1"/>
      <c r="H52" s="1"/>
      <c r="I52" s="1" t="str">
        <f>IF(G50&lt;I50,"CUMPLE","NO CUMPLE")</f>
        <v>CUMPLE</v>
      </c>
    </row>
    <row r="53" spans="1:11" x14ac:dyDescent="0.3">
      <c r="F53" s="1" t="s">
        <v>97</v>
      </c>
      <c r="G53" s="1"/>
      <c r="I53" s="1" t="str">
        <f>+IF(K50&lt;3,"CUMPLE","Verificar Ancho")</f>
        <v>CUMPLE</v>
      </c>
    </row>
    <row r="54" spans="1:11" x14ac:dyDescent="0.3">
      <c r="F54" s="1"/>
      <c r="G54" s="1"/>
      <c r="I54" s="1"/>
    </row>
    <row r="56" spans="1:11" ht="18" x14ac:dyDescent="0.35">
      <c r="A56" s="10" t="s">
        <v>107</v>
      </c>
    </row>
    <row r="57" spans="1:11" x14ac:dyDescent="0.3">
      <c r="B57" s="2" t="s">
        <v>20</v>
      </c>
      <c r="C57" s="2" t="s">
        <v>13</v>
      </c>
      <c r="D57" s="2" t="s">
        <v>17</v>
      </c>
      <c r="E57" s="2" t="s">
        <v>22</v>
      </c>
      <c r="F57" s="2" t="s">
        <v>18</v>
      </c>
      <c r="G57" s="2" t="s">
        <v>19</v>
      </c>
      <c r="H57" s="11"/>
    </row>
    <row r="58" spans="1:11" x14ac:dyDescent="0.3">
      <c r="A58" s="2" t="s">
        <v>54</v>
      </c>
      <c r="B58" s="47"/>
      <c r="C58" s="48"/>
      <c r="D58" s="48"/>
      <c r="E58" s="49"/>
      <c r="F58" s="6">
        <f>+B42</f>
        <v>6.9309194444444437E-3</v>
      </c>
      <c r="G58" s="2"/>
      <c r="H58" s="11"/>
    </row>
    <row r="59" spans="1:11" x14ac:dyDescent="0.3">
      <c r="A59" s="2" t="s">
        <v>78</v>
      </c>
      <c r="B59" s="2">
        <f>25*1.25/10000</f>
        <v>3.1250000000000002E-3</v>
      </c>
      <c r="C59" s="2">
        <v>0.97</v>
      </c>
      <c r="D59" s="2">
        <v>100</v>
      </c>
      <c r="E59" s="2"/>
      <c r="F59" s="6">
        <f t="shared" ref="F59" si="3">+B59*C59*D59/360</f>
        <v>8.42013888888889E-4</v>
      </c>
      <c r="G59" s="6"/>
      <c r="H59" s="12"/>
    </row>
    <row r="60" spans="1:11" x14ac:dyDescent="0.3">
      <c r="A60" s="11"/>
      <c r="B60" s="11"/>
      <c r="C60" s="11"/>
      <c r="D60" s="11"/>
      <c r="E60" s="11"/>
      <c r="F60" s="12"/>
      <c r="G60" s="12"/>
      <c r="H60" s="12"/>
    </row>
    <row r="61" spans="1:11" x14ac:dyDescent="0.3">
      <c r="F61" s="2" t="s">
        <v>43</v>
      </c>
      <c r="G61" s="6">
        <f>+F58+F59</f>
        <v>7.7729333333333324E-3</v>
      </c>
      <c r="H61" s="12"/>
    </row>
    <row r="62" spans="1:11" x14ac:dyDescent="0.3">
      <c r="A62" s="1" t="s">
        <v>33</v>
      </c>
      <c r="B62" s="1"/>
      <c r="C62" s="1"/>
    </row>
    <row r="63" spans="1:11" x14ac:dyDescent="0.3">
      <c r="A63" s="5" t="s">
        <v>34</v>
      </c>
      <c r="B63" s="14">
        <f>+G61</f>
        <v>7.7729333333333324E-3</v>
      </c>
      <c r="C63" t="s">
        <v>15</v>
      </c>
    </row>
    <row r="64" spans="1:11" x14ac:dyDescent="0.3">
      <c r="A64" s="5" t="s">
        <v>44</v>
      </c>
      <c r="B64" s="7">
        <v>1.2999999999999999E-2</v>
      </c>
      <c r="E64" t="s">
        <v>82</v>
      </c>
      <c r="F64">
        <f>+B63/D71</f>
        <v>2.3198554393574811E-2</v>
      </c>
      <c r="G64" t="s">
        <v>85</v>
      </c>
    </row>
    <row r="65" spans="1:11" x14ac:dyDescent="0.3">
      <c r="A65" s="5" t="s">
        <v>35</v>
      </c>
      <c r="B65" s="7">
        <v>0</v>
      </c>
    </row>
    <row r="66" spans="1:11" x14ac:dyDescent="0.3">
      <c r="A66" s="5" t="s">
        <v>36</v>
      </c>
      <c r="B66" s="7">
        <v>0.2</v>
      </c>
      <c r="C66" t="s">
        <v>49</v>
      </c>
    </row>
    <row r="67" spans="1:11" x14ac:dyDescent="0.3">
      <c r="A67" s="5" t="s">
        <v>38</v>
      </c>
      <c r="B67" s="7">
        <v>5.0000000000000001E-3</v>
      </c>
      <c r="C67" t="s">
        <v>50</v>
      </c>
    </row>
    <row r="68" spans="1:11" x14ac:dyDescent="0.3">
      <c r="A68" s="5" t="s">
        <v>48</v>
      </c>
      <c r="B68" s="7">
        <v>0.36</v>
      </c>
      <c r="C68" t="s">
        <v>49</v>
      </c>
      <c r="G68" s="13"/>
      <c r="H68" s="13"/>
    </row>
    <row r="70" spans="1:11" x14ac:dyDescent="0.3">
      <c r="A70" s="8" t="s">
        <v>37</v>
      </c>
      <c r="B70" s="2" t="s">
        <v>38</v>
      </c>
      <c r="C70" s="5" t="s">
        <v>39</v>
      </c>
      <c r="D70" s="5" t="s">
        <v>40</v>
      </c>
      <c r="E70" s="5" t="s">
        <v>41</v>
      </c>
      <c r="F70" s="5" t="s">
        <v>34</v>
      </c>
      <c r="G70" s="17" t="s">
        <v>45</v>
      </c>
      <c r="H70" s="8" t="s">
        <v>60</v>
      </c>
      <c r="I70" s="17" t="s">
        <v>46</v>
      </c>
      <c r="J70" s="8" t="s">
        <v>101</v>
      </c>
      <c r="K70" s="8" t="s">
        <v>96</v>
      </c>
    </row>
    <row r="71" spans="1:11" x14ac:dyDescent="0.3">
      <c r="A71" s="9">
        <v>6.7530553875507077E-2</v>
      </c>
      <c r="B71" s="4">
        <f>+B67</f>
        <v>5.0000000000000001E-3</v>
      </c>
      <c r="C71" s="2">
        <f>+A71*B66</f>
        <v>1.3506110775101415E-2</v>
      </c>
      <c r="D71" s="2">
        <f>+B66+2*A71</f>
        <v>0.33506110775101416</v>
      </c>
      <c r="E71" s="2">
        <f>C71/D71</f>
        <v>4.0309395697270496E-2</v>
      </c>
      <c r="F71" s="2">
        <f>C71*(E71^(2/3))*(B71^(1/2))/B64</f>
        <v>8.6366001917413966E-3</v>
      </c>
      <c r="G71" s="31">
        <f>ROUND(A71,2)</f>
        <v>7.0000000000000007E-2</v>
      </c>
      <c r="H71" s="20">
        <f>+ROUND(G71,4)*100</f>
        <v>7.0000000000000009</v>
      </c>
      <c r="I71" s="2">
        <f>4/5*B68</f>
        <v>0.28799999999999998</v>
      </c>
      <c r="J71" s="9">
        <f>+(B68-G71)*100</f>
        <v>28.999999999999996</v>
      </c>
      <c r="K71" s="20">
        <f>+B63/C71</f>
        <v>0.57551233384393496</v>
      </c>
    </row>
    <row r="73" spans="1:11" x14ac:dyDescent="0.3">
      <c r="F73" s="1" t="s">
        <v>47</v>
      </c>
      <c r="G73" s="1"/>
      <c r="H73" s="1"/>
      <c r="I73" s="1" t="str">
        <f>IF(G71&lt;I71,"CUMPLE","NO CUMPLE")</f>
        <v>CUMPLE</v>
      </c>
    </row>
    <row r="74" spans="1:11" x14ac:dyDescent="0.3">
      <c r="F74" s="1" t="s">
        <v>97</v>
      </c>
      <c r="G74" s="1"/>
      <c r="I74" s="1" t="str">
        <f>+IF(K71&lt;3,"CUMPLE","Verificar Ancho")</f>
        <v>CUMPLE</v>
      </c>
    </row>
    <row r="75" spans="1:11" x14ac:dyDescent="0.3">
      <c r="F75" s="1"/>
      <c r="G75" s="1"/>
      <c r="I75" s="1"/>
    </row>
    <row r="77" spans="1:11" ht="18" x14ac:dyDescent="0.35">
      <c r="A77" s="10" t="s">
        <v>108</v>
      </c>
    </row>
    <row r="78" spans="1:11" x14ac:dyDescent="0.3">
      <c r="B78" s="2" t="s">
        <v>20</v>
      </c>
      <c r="C78" s="2" t="s">
        <v>13</v>
      </c>
      <c r="D78" s="2" t="s">
        <v>17</v>
      </c>
      <c r="E78" s="2" t="s">
        <v>22</v>
      </c>
      <c r="F78" s="2" t="s">
        <v>18</v>
      </c>
      <c r="G78" s="2" t="s">
        <v>19</v>
      </c>
    </row>
    <row r="79" spans="1:11" x14ac:dyDescent="0.3">
      <c r="A79" s="2" t="s">
        <v>54</v>
      </c>
      <c r="B79" s="47"/>
      <c r="C79" s="48"/>
      <c r="D79" s="48"/>
      <c r="E79" s="49"/>
      <c r="F79" s="6">
        <f>+B63</f>
        <v>7.7729333333333324E-3</v>
      </c>
      <c r="G79" s="2"/>
    </row>
    <row r="80" spans="1:11" x14ac:dyDescent="0.3">
      <c r="A80" s="2" t="s">
        <v>79</v>
      </c>
      <c r="B80" s="2">
        <f>62/10000</f>
        <v>6.1999999999999998E-3</v>
      </c>
      <c r="C80" s="2">
        <v>0.97</v>
      </c>
      <c r="D80" s="2">
        <v>100</v>
      </c>
      <c r="E80" s="2"/>
      <c r="F80" s="6">
        <f t="shared" ref="F80" si="4">+B80*C80*D80/360</f>
        <v>1.6705555555555553E-3</v>
      </c>
      <c r="G80" s="6"/>
    </row>
    <row r="81" spans="1:11" x14ac:dyDescent="0.3">
      <c r="A81" s="11"/>
      <c r="B81" s="24"/>
      <c r="C81" s="24"/>
      <c r="D81" s="24"/>
      <c r="E81" s="24"/>
      <c r="F81" s="12"/>
      <c r="G81" s="11"/>
    </row>
    <row r="82" spans="1:11" x14ac:dyDescent="0.3">
      <c r="A82" s="11"/>
      <c r="B82" s="11"/>
      <c r="C82" s="11"/>
      <c r="D82" s="11"/>
      <c r="E82" s="11"/>
      <c r="F82" s="12"/>
      <c r="G82" s="12"/>
    </row>
    <row r="83" spans="1:11" x14ac:dyDescent="0.3">
      <c r="F83" s="2" t="s">
        <v>43</v>
      </c>
      <c r="G83" s="6">
        <f>+F79+F80</f>
        <v>9.4434888888888877E-3</v>
      </c>
    </row>
    <row r="85" spans="1:11" x14ac:dyDescent="0.3">
      <c r="A85" s="1" t="s">
        <v>33</v>
      </c>
      <c r="B85" s="1"/>
      <c r="C85" s="1"/>
    </row>
    <row r="86" spans="1:11" x14ac:dyDescent="0.3">
      <c r="A86" s="5" t="s">
        <v>34</v>
      </c>
      <c r="B86" s="14">
        <f>+G83</f>
        <v>9.4434888888888877E-3</v>
      </c>
      <c r="C86" t="s">
        <v>15</v>
      </c>
    </row>
    <row r="87" spans="1:11" x14ac:dyDescent="0.3">
      <c r="A87" s="5" t="s">
        <v>44</v>
      </c>
      <c r="B87" s="7">
        <v>1.2999999999999999E-2</v>
      </c>
    </row>
    <row r="88" spans="1:11" x14ac:dyDescent="0.3">
      <c r="A88" s="5" t="s">
        <v>35</v>
      </c>
      <c r="B88" s="7">
        <v>0</v>
      </c>
    </row>
    <row r="89" spans="1:11" x14ac:dyDescent="0.3">
      <c r="A89" s="5" t="s">
        <v>36</v>
      </c>
      <c r="B89" s="7">
        <v>0.2</v>
      </c>
      <c r="C89" t="s">
        <v>49</v>
      </c>
    </row>
    <row r="90" spans="1:11" x14ac:dyDescent="0.3">
      <c r="A90" s="5" t="s">
        <v>38</v>
      </c>
      <c r="B90" s="7">
        <v>4.5999999999999999E-2</v>
      </c>
      <c r="C90" t="s">
        <v>50</v>
      </c>
    </row>
    <row r="91" spans="1:11" x14ac:dyDescent="0.3">
      <c r="A91" s="5" t="s">
        <v>48</v>
      </c>
      <c r="B91" s="7">
        <v>0.95</v>
      </c>
      <c r="C91" t="s">
        <v>49</v>
      </c>
      <c r="G91" s="13"/>
      <c r="H91" s="13"/>
    </row>
    <row r="93" spans="1:11" x14ac:dyDescent="0.3">
      <c r="A93" s="8" t="s">
        <v>37</v>
      </c>
      <c r="B93" s="2" t="s">
        <v>38</v>
      </c>
      <c r="C93" s="5" t="s">
        <v>39</v>
      </c>
      <c r="D93" s="5" t="s">
        <v>40</v>
      </c>
      <c r="E93" s="5" t="s">
        <v>41</v>
      </c>
      <c r="F93" s="5" t="s">
        <v>34</v>
      </c>
      <c r="G93" s="17" t="s">
        <v>45</v>
      </c>
      <c r="H93" s="8" t="s">
        <v>60</v>
      </c>
      <c r="I93" s="17" t="s">
        <v>46</v>
      </c>
      <c r="J93" s="8" t="s">
        <v>101</v>
      </c>
      <c r="K93" s="8" t="s">
        <v>96</v>
      </c>
    </row>
    <row r="94" spans="1:11" x14ac:dyDescent="0.3">
      <c r="A94" s="9">
        <v>3.4066845092895544E-2</v>
      </c>
      <c r="B94" s="4">
        <f>+B90</f>
        <v>4.5999999999999999E-2</v>
      </c>
      <c r="C94" s="2">
        <f>+A94*B89</f>
        <v>6.8133690185791093E-3</v>
      </c>
      <c r="D94" s="2">
        <f>+B89+2*A94</f>
        <v>0.26813369018579108</v>
      </c>
      <c r="E94" s="2">
        <f>C94/D94</f>
        <v>2.5410342929521816E-2</v>
      </c>
      <c r="F94" s="2">
        <f>C94*(E94^(2/3))*(B94^(1/2))/B87</f>
        <v>9.7156342910098819E-3</v>
      </c>
      <c r="G94" s="31">
        <f>ROUND(A94,2)</f>
        <v>0.03</v>
      </c>
      <c r="H94" s="20">
        <f>+ROUND(G94,4)*100</f>
        <v>3</v>
      </c>
      <c r="I94" s="2">
        <f>4/5*B91</f>
        <v>0.76</v>
      </c>
      <c r="J94" s="9">
        <f>+(B91-G94)*100</f>
        <v>92</v>
      </c>
      <c r="K94" s="20">
        <f>+B86/C94</f>
        <v>1.3860233994574207</v>
      </c>
    </row>
    <row r="96" spans="1:11" x14ac:dyDescent="0.3">
      <c r="F96" s="1" t="s">
        <v>47</v>
      </c>
      <c r="G96" s="1"/>
      <c r="H96" s="1"/>
      <c r="I96" s="1" t="str">
        <f>IF(G94&lt;I94,"CUMPLE","NO CUMPLE")</f>
        <v>CUMPLE</v>
      </c>
    </row>
    <row r="97" spans="1:9" x14ac:dyDescent="0.3">
      <c r="F97" s="1" t="s">
        <v>97</v>
      </c>
      <c r="G97" s="1"/>
      <c r="I97" s="1" t="str">
        <f>+IF(K94&lt;3,"CUMPLE","Verificar Ancho")</f>
        <v>CUMPLE</v>
      </c>
    </row>
    <row r="98" spans="1:9" x14ac:dyDescent="0.3">
      <c r="F98" s="1"/>
      <c r="G98" s="1"/>
      <c r="I98" s="1"/>
    </row>
    <row r="100" spans="1:9" ht="18" x14ac:dyDescent="0.35">
      <c r="A100" s="10" t="s">
        <v>109</v>
      </c>
    </row>
    <row r="101" spans="1:9" x14ac:dyDescent="0.3">
      <c r="B101" s="2" t="s">
        <v>20</v>
      </c>
      <c r="C101" s="2" t="s">
        <v>13</v>
      </c>
      <c r="D101" s="2" t="s">
        <v>17</v>
      </c>
      <c r="E101" s="2" t="s">
        <v>22</v>
      </c>
      <c r="F101" s="2" t="s">
        <v>18</v>
      </c>
      <c r="G101" s="2" t="s">
        <v>19</v>
      </c>
    </row>
    <row r="102" spans="1:9" x14ac:dyDescent="0.3">
      <c r="A102" s="2" t="s">
        <v>54</v>
      </c>
      <c r="B102" s="47"/>
      <c r="C102" s="48"/>
      <c r="D102" s="48"/>
      <c r="E102" s="49"/>
      <c r="F102" s="6">
        <f>+B86</f>
        <v>9.4434888888888877E-3</v>
      </c>
      <c r="G102" s="2"/>
    </row>
    <row r="103" spans="1:9" x14ac:dyDescent="0.3">
      <c r="A103" s="11"/>
      <c r="B103" s="11"/>
      <c r="C103" s="11"/>
      <c r="D103" s="11"/>
      <c r="E103" s="11"/>
      <c r="F103" s="12"/>
      <c r="G103" s="12"/>
    </row>
    <row r="104" spans="1:9" x14ac:dyDescent="0.3">
      <c r="F104" s="2" t="s">
        <v>43</v>
      </c>
      <c r="G104" s="6">
        <f>+F102</f>
        <v>9.4434888888888877E-3</v>
      </c>
    </row>
    <row r="105" spans="1:9" x14ac:dyDescent="0.3">
      <c r="A105" s="1" t="s">
        <v>71</v>
      </c>
      <c r="B105" s="1"/>
      <c r="C105" s="1"/>
    </row>
    <row r="106" spans="1:9" x14ac:dyDescent="0.3">
      <c r="A106" s="5" t="s">
        <v>66</v>
      </c>
      <c r="B106" s="14">
        <f>+G104</f>
        <v>9.4434888888888877E-3</v>
      </c>
      <c r="C106" t="s">
        <v>15</v>
      </c>
    </row>
    <row r="107" spans="1:9" x14ac:dyDescent="0.3">
      <c r="A107" s="5" t="s">
        <v>56</v>
      </c>
      <c r="B107" s="7">
        <v>0.01</v>
      </c>
      <c r="D107" s="1"/>
    </row>
    <row r="108" spans="1:9" ht="18" customHeight="1" x14ac:dyDescent="0.35">
      <c r="A108" s="21" t="s">
        <v>93</v>
      </c>
      <c r="B108" s="15">
        <f>180*PI()/180</f>
        <v>3.1415926535897931</v>
      </c>
      <c r="C108" t="s">
        <v>58</v>
      </c>
    </row>
    <row r="109" spans="1:9" x14ac:dyDescent="0.3">
      <c r="A109" s="5" t="s">
        <v>38</v>
      </c>
      <c r="B109" s="7">
        <v>0.05</v>
      </c>
      <c r="C109" t="s">
        <v>50</v>
      </c>
    </row>
    <row r="110" spans="1:9" x14ac:dyDescent="0.3">
      <c r="A110" s="23" t="s">
        <v>57</v>
      </c>
      <c r="B110" s="22">
        <v>6</v>
      </c>
      <c r="C110" t="s">
        <v>65</v>
      </c>
      <c r="G110" s="13"/>
    </row>
    <row r="112" spans="1:9" x14ac:dyDescent="0.3">
      <c r="A112" s="8" t="s">
        <v>57</v>
      </c>
      <c r="B112" s="2" t="s">
        <v>38</v>
      </c>
      <c r="C112" s="5" t="s">
        <v>39</v>
      </c>
      <c r="D112" s="5" t="s">
        <v>40</v>
      </c>
      <c r="E112" s="5" t="s">
        <v>41</v>
      </c>
      <c r="F112" s="8" t="s">
        <v>99</v>
      </c>
      <c r="G112" s="8" t="s">
        <v>96</v>
      </c>
    </row>
    <row r="113" spans="1:7" x14ac:dyDescent="0.3">
      <c r="A113" s="9">
        <f>+B110*0.0254</f>
        <v>0.15239999999999998</v>
      </c>
      <c r="B113" s="2">
        <f>+B109</f>
        <v>0.05</v>
      </c>
      <c r="C113" s="4">
        <f>+((B108-SIN(B108))*(A113)^2)/8</f>
        <v>9.1207346237549575E-3</v>
      </c>
      <c r="D113" s="2">
        <f>+B108*A113/2</f>
        <v>0.23938936020354221</v>
      </c>
      <c r="E113" s="2">
        <f>(1-SIN(B108)/B108)*(A113)/4</f>
        <v>3.8099999999999995E-2</v>
      </c>
      <c r="F113" s="9">
        <f>C113*(E113^(2/3))*(B113^(1/2))/B107</f>
        <v>2.3092173170758012E-2</v>
      </c>
      <c r="G113" s="20">
        <f>+B106/C113</f>
        <v>1.0353868716115604</v>
      </c>
    </row>
    <row r="115" spans="1:7" x14ac:dyDescent="0.3">
      <c r="C115" s="1" t="s">
        <v>100</v>
      </c>
      <c r="D115" s="1"/>
      <c r="F115" s="1" t="str">
        <f>+IF(B106&lt;F113,"CUMPLE","NO CUMPLE")</f>
        <v>CUMPLE</v>
      </c>
      <c r="G115" s="1"/>
    </row>
    <row r="116" spans="1:7" x14ac:dyDescent="0.3">
      <c r="C116" s="1" t="s">
        <v>98</v>
      </c>
      <c r="D116" s="1"/>
      <c r="F116" s="1" t="str">
        <f>+IF(G113&lt;5,"CUMPLE","Verificar Diametro")</f>
        <v>CUMPLE</v>
      </c>
      <c r="G116" s="1"/>
    </row>
    <row r="117" spans="1:7" x14ac:dyDescent="0.3">
      <c r="C117" s="1" t="s">
        <v>69</v>
      </c>
      <c r="D117" s="1"/>
    </row>
    <row r="118" spans="1:7" x14ac:dyDescent="0.3">
      <c r="D118" s="27" t="s">
        <v>59</v>
      </c>
      <c r="E118" s="27">
        <f>IF(B106&lt;F113,A113/0.0254,"Modificar Diametro")</f>
        <v>5.9999999999999991</v>
      </c>
      <c r="F118" s="27" t="s">
        <v>65</v>
      </c>
    </row>
    <row r="121" spans="1:7" ht="18" x14ac:dyDescent="0.35">
      <c r="A121" s="10" t="s">
        <v>110</v>
      </c>
    </row>
    <row r="122" spans="1:7" x14ac:dyDescent="0.3">
      <c r="B122" s="2" t="s">
        <v>20</v>
      </c>
      <c r="C122" s="2" t="s">
        <v>13</v>
      </c>
      <c r="D122" s="2" t="s">
        <v>17</v>
      </c>
      <c r="E122" s="2" t="s">
        <v>22</v>
      </c>
      <c r="F122" s="2" t="s">
        <v>18</v>
      </c>
      <c r="G122" s="2" t="s">
        <v>19</v>
      </c>
    </row>
    <row r="123" spans="1:7" x14ac:dyDescent="0.3">
      <c r="A123" s="2" t="s">
        <v>54</v>
      </c>
      <c r="B123" s="47"/>
      <c r="C123" s="48"/>
      <c r="D123" s="48"/>
      <c r="E123" s="49"/>
      <c r="F123" s="6">
        <f>+B106</f>
        <v>9.4434888888888877E-3</v>
      </c>
      <c r="G123" s="2"/>
    </row>
    <row r="124" spans="1:7" x14ac:dyDescent="0.3">
      <c r="A124" s="2" t="s">
        <v>80</v>
      </c>
      <c r="B124" s="2">
        <f>20/10000</f>
        <v>2E-3</v>
      </c>
      <c r="C124" s="2">
        <v>0.97</v>
      </c>
      <c r="D124" s="2">
        <v>100</v>
      </c>
      <c r="E124" s="2"/>
      <c r="F124" s="6">
        <f t="shared" ref="F124" si="5">+B124*C124*D124/360</f>
        <v>5.3888888888888888E-4</v>
      </c>
      <c r="G124" s="6"/>
    </row>
    <row r="125" spans="1:7" x14ac:dyDescent="0.3">
      <c r="A125" s="11"/>
      <c r="B125" s="24"/>
      <c r="C125" s="24"/>
      <c r="D125" s="24"/>
      <c r="E125" s="24"/>
      <c r="F125" s="12"/>
      <c r="G125" s="11"/>
    </row>
    <row r="126" spans="1:7" x14ac:dyDescent="0.3">
      <c r="A126" s="11"/>
      <c r="B126" s="11"/>
      <c r="C126" s="11"/>
      <c r="D126" s="11"/>
      <c r="E126" s="11"/>
      <c r="F126" s="12"/>
      <c r="G126" s="12"/>
    </row>
    <row r="127" spans="1:7" x14ac:dyDescent="0.3">
      <c r="F127" s="2" t="s">
        <v>43</v>
      </c>
      <c r="G127" s="6">
        <f>+F123+F124</f>
        <v>9.9823777777777768E-3</v>
      </c>
    </row>
    <row r="129" spans="1:11" x14ac:dyDescent="0.3">
      <c r="A129" s="1" t="s">
        <v>33</v>
      </c>
      <c r="B129" s="1"/>
      <c r="C129" s="1"/>
    </row>
    <row r="130" spans="1:11" x14ac:dyDescent="0.3">
      <c r="A130" s="5" t="s">
        <v>34</v>
      </c>
      <c r="B130" s="14">
        <f>+G127</f>
        <v>9.9823777777777768E-3</v>
      </c>
      <c r="C130" t="s">
        <v>15</v>
      </c>
    </row>
    <row r="131" spans="1:11" x14ac:dyDescent="0.3">
      <c r="A131" s="5" t="s">
        <v>44</v>
      </c>
      <c r="B131" s="7">
        <v>1.2999999999999999E-2</v>
      </c>
    </row>
    <row r="132" spans="1:11" x14ac:dyDescent="0.3">
      <c r="A132" s="5" t="s">
        <v>35</v>
      </c>
      <c r="B132" s="7">
        <v>0</v>
      </c>
    </row>
    <row r="133" spans="1:11" x14ac:dyDescent="0.3">
      <c r="A133" s="5" t="s">
        <v>36</v>
      </c>
      <c r="B133" s="7">
        <v>0.3</v>
      </c>
      <c r="C133" t="s">
        <v>49</v>
      </c>
    </row>
    <row r="134" spans="1:11" x14ac:dyDescent="0.3">
      <c r="A134" s="5" t="s">
        <v>38</v>
      </c>
      <c r="B134" s="7">
        <v>0.01</v>
      </c>
      <c r="C134" t="s">
        <v>50</v>
      </c>
    </row>
    <row r="135" spans="1:11" x14ac:dyDescent="0.3">
      <c r="A135" s="5" t="s">
        <v>48</v>
      </c>
      <c r="B135" s="7">
        <v>0.43</v>
      </c>
      <c r="C135" t="s">
        <v>49</v>
      </c>
      <c r="G135" s="13"/>
      <c r="H135" s="13"/>
    </row>
    <row r="137" spans="1:11" x14ac:dyDescent="0.3">
      <c r="A137" s="8" t="s">
        <v>37</v>
      </c>
      <c r="B137" s="2" t="s">
        <v>38</v>
      </c>
      <c r="C137" s="5" t="s">
        <v>39</v>
      </c>
      <c r="D137" s="5" t="s">
        <v>40</v>
      </c>
      <c r="E137" s="5" t="s">
        <v>41</v>
      </c>
      <c r="F137" s="5" t="s">
        <v>34</v>
      </c>
      <c r="G137" s="17" t="s">
        <v>45</v>
      </c>
      <c r="H137" s="8" t="s">
        <v>60</v>
      </c>
      <c r="I137" s="17" t="s">
        <v>46</v>
      </c>
      <c r="J137" s="8" t="s">
        <v>101</v>
      </c>
      <c r="K137" s="8" t="s">
        <v>96</v>
      </c>
    </row>
    <row r="138" spans="1:11" x14ac:dyDescent="0.3">
      <c r="A138" s="9">
        <v>4.2431570258607838E-2</v>
      </c>
      <c r="B138" s="4">
        <f>+B134</f>
        <v>0.01</v>
      </c>
      <c r="C138" s="2">
        <f>+A138*B133</f>
        <v>1.2729471077582351E-2</v>
      </c>
      <c r="D138" s="2">
        <f>+B133+2*A138</f>
        <v>0.38486314051721565</v>
      </c>
      <c r="E138" s="2">
        <f>C138/D138</f>
        <v>3.3075318827558486E-2</v>
      </c>
      <c r="F138" s="2">
        <f>C138*(E138^(2/3))*(B138^(1/2))/B131</f>
        <v>1.0089501266158733E-2</v>
      </c>
      <c r="G138" s="31">
        <f>ROUND(A138,2)</f>
        <v>0.04</v>
      </c>
      <c r="H138" s="20">
        <f>+ROUND(G138,4)*100</f>
        <v>4</v>
      </c>
      <c r="I138" s="2">
        <f>4/5*B135</f>
        <v>0.34400000000000003</v>
      </c>
      <c r="J138" s="9">
        <f>+(B135-G138)*100</f>
        <v>39</v>
      </c>
      <c r="K138" s="20">
        <f>+B130/C138</f>
        <v>0.78419423061163696</v>
      </c>
    </row>
    <row r="140" spans="1:11" x14ac:dyDescent="0.3">
      <c r="F140" s="1" t="s">
        <v>47</v>
      </c>
      <c r="G140" s="1"/>
      <c r="H140" s="1"/>
      <c r="I140" s="1" t="str">
        <f>IF(G138&lt;I138,"CUMPLE","NO CUMPLE")</f>
        <v>CUMPLE</v>
      </c>
    </row>
    <row r="141" spans="1:11" x14ac:dyDescent="0.3">
      <c r="F141" s="1" t="s">
        <v>97</v>
      </c>
      <c r="G141" s="1"/>
      <c r="I141" s="1" t="str">
        <f>+IF(K138&lt;3,"CUMPLE","Verificar Ancho")</f>
        <v>CUMPLE</v>
      </c>
    </row>
    <row r="142" spans="1:11" x14ac:dyDescent="0.3">
      <c r="F142" s="1"/>
      <c r="G142" s="1"/>
      <c r="I142" s="1"/>
    </row>
    <row r="144" spans="1:11" ht="18" x14ac:dyDescent="0.35">
      <c r="A144" s="37" t="s">
        <v>111</v>
      </c>
    </row>
    <row r="145" spans="1:11" x14ac:dyDescent="0.3">
      <c r="B145" s="2" t="s">
        <v>20</v>
      </c>
      <c r="C145" s="2" t="s">
        <v>13</v>
      </c>
      <c r="D145" s="2" t="s">
        <v>17</v>
      </c>
      <c r="E145" s="2" t="s">
        <v>22</v>
      </c>
      <c r="F145" s="2" t="s">
        <v>18</v>
      </c>
      <c r="G145" s="2" t="s">
        <v>19</v>
      </c>
    </row>
    <row r="146" spans="1:11" x14ac:dyDescent="0.3">
      <c r="A146" s="2" t="s">
        <v>54</v>
      </c>
      <c r="B146" s="47"/>
      <c r="C146" s="48"/>
      <c r="D146" s="48"/>
      <c r="E146" s="49"/>
      <c r="F146" s="6">
        <f>+B130</f>
        <v>9.9823777777777768E-3</v>
      </c>
      <c r="G146" s="2"/>
    </row>
    <row r="147" spans="1:11" x14ac:dyDescent="0.3">
      <c r="A147" s="2" t="s">
        <v>83</v>
      </c>
      <c r="B147" s="2">
        <f>(685+35)/10000</f>
        <v>7.1999999999999995E-2</v>
      </c>
      <c r="C147" s="2">
        <v>0.97</v>
      </c>
      <c r="D147" s="2">
        <v>100</v>
      </c>
      <c r="E147" s="2"/>
      <c r="F147" s="6">
        <f t="shared" ref="F147" si="6">+B147*C147*D147/360</f>
        <v>1.9400000000000001E-2</v>
      </c>
      <c r="G147" s="6"/>
    </row>
    <row r="148" spans="1:11" x14ac:dyDescent="0.3">
      <c r="A148" s="11"/>
      <c r="B148" s="24"/>
      <c r="C148" s="24"/>
      <c r="D148" s="24"/>
      <c r="E148" s="24"/>
      <c r="F148" s="12"/>
      <c r="G148" s="11"/>
    </row>
    <row r="149" spans="1:11" x14ac:dyDescent="0.3">
      <c r="A149" s="11"/>
      <c r="B149" s="11"/>
      <c r="C149" s="11"/>
      <c r="D149" s="11"/>
      <c r="E149" s="11"/>
      <c r="F149" s="12"/>
      <c r="G149" s="12"/>
    </row>
    <row r="150" spans="1:11" x14ac:dyDescent="0.3">
      <c r="F150" s="2" t="s">
        <v>43</v>
      </c>
      <c r="G150" s="6">
        <f>+F146+F147</f>
        <v>2.9382377777777777E-2</v>
      </c>
    </row>
    <row r="152" spans="1:11" x14ac:dyDescent="0.3">
      <c r="A152" s="1" t="s">
        <v>33</v>
      </c>
      <c r="B152" s="1"/>
      <c r="C152" s="1"/>
    </row>
    <row r="153" spans="1:11" x14ac:dyDescent="0.3">
      <c r="A153" s="5" t="s">
        <v>34</v>
      </c>
      <c r="B153" s="14">
        <f>+G150</f>
        <v>2.9382377777777777E-2</v>
      </c>
      <c r="C153" t="s">
        <v>15</v>
      </c>
    </row>
    <row r="154" spans="1:11" x14ac:dyDescent="0.3">
      <c r="A154" s="5" t="s">
        <v>44</v>
      </c>
      <c r="B154" s="7">
        <v>1.2999999999999999E-2</v>
      </c>
    </row>
    <row r="155" spans="1:11" x14ac:dyDescent="0.3">
      <c r="A155" s="5" t="s">
        <v>35</v>
      </c>
      <c r="B155" s="7">
        <v>0</v>
      </c>
    </row>
    <row r="156" spans="1:11" x14ac:dyDescent="0.3">
      <c r="A156" s="5" t="s">
        <v>36</v>
      </c>
      <c r="B156" s="7">
        <v>0.3</v>
      </c>
      <c r="C156" t="s">
        <v>49</v>
      </c>
    </row>
    <row r="157" spans="1:11" x14ac:dyDescent="0.3">
      <c r="A157" s="5" t="s">
        <v>38</v>
      </c>
      <c r="B157" s="7">
        <v>0.01</v>
      </c>
      <c r="C157" t="s">
        <v>50</v>
      </c>
    </row>
    <row r="158" spans="1:11" x14ac:dyDescent="0.3">
      <c r="A158" s="5" t="s">
        <v>48</v>
      </c>
      <c r="B158" s="7">
        <v>0.56000000000000005</v>
      </c>
      <c r="C158" t="s">
        <v>49</v>
      </c>
      <c r="G158" s="13"/>
      <c r="H158" s="13"/>
    </row>
    <row r="160" spans="1:11" x14ac:dyDescent="0.3">
      <c r="A160" s="8" t="s">
        <v>37</v>
      </c>
      <c r="B160" s="2" t="s">
        <v>38</v>
      </c>
      <c r="C160" s="5" t="s">
        <v>39</v>
      </c>
      <c r="D160" s="5" t="s">
        <v>40</v>
      </c>
      <c r="E160" s="5" t="s">
        <v>41</v>
      </c>
      <c r="F160" s="5" t="s">
        <v>34</v>
      </c>
      <c r="G160" s="17" t="s">
        <v>45</v>
      </c>
      <c r="H160" s="8" t="s">
        <v>60</v>
      </c>
      <c r="I160" s="17" t="s">
        <v>46</v>
      </c>
      <c r="J160" s="8" t="s">
        <v>101</v>
      </c>
      <c r="K160" s="8" t="s">
        <v>96</v>
      </c>
    </row>
    <row r="161" spans="1:11" x14ac:dyDescent="0.3">
      <c r="A161" s="9">
        <v>8.8099576783244454E-2</v>
      </c>
      <c r="B161" s="4">
        <f>+B157</f>
        <v>0.01</v>
      </c>
      <c r="C161" s="2">
        <f>+A161*B156</f>
        <v>2.6429873034973336E-2</v>
      </c>
      <c r="D161" s="2">
        <f>+B156+2*A161</f>
        <v>0.4761991535664889</v>
      </c>
      <c r="E161" s="2">
        <f>C161/D161</f>
        <v>5.550172199389071E-2</v>
      </c>
      <c r="F161" s="2">
        <f>C161*(E161^(2/3))*(B161^(1/2))/B154</f>
        <v>2.958167057264522E-2</v>
      </c>
      <c r="G161" s="31">
        <f>ROUND(A161,2)</f>
        <v>0.09</v>
      </c>
      <c r="H161" s="20">
        <f>+ROUND(G161,4)*100</f>
        <v>9</v>
      </c>
      <c r="I161" s="2">
        <f>4/5*B158</f>
        <v>0.44800000000000006</v>
      </c>
      <c r="J161" s="9">
        <f>+(B158-G161)*100</f>
        <v>47.000000000000007</v>
      </c>
      <c r="K161" s="20">
        <f>+B153/C161</f>
        <v>1.1117108939152882</v>
      </c>
    </row>
    <row r="163" spans="1:11" x14ac:dyDescent="0.3">
      <c r="F163" s="1" t="s">
        <v>47</v>
      </c>
      <c r="G163" s="1"/>
      <c r="H163" s="1"/>
      <c r="I163" s="1" t="str">
        <f>IF(G161&lt;I161,"CUMPLE","NO CUMPLE")</f>
        <v>CUMPLE</v>
      </c>
    </row>
    <row r="164" spans="1:11" x14ac:dyDescent="0.3">
      <c r="F164" s="1" t="s">
        <v>97</v>
      </c>
      <c r="G164" s="1"/>
      <c r="I164" s="1" t="str">
        <f>+IF(K161&lt;3,"CUMPLE","Verificar Ancho")</f>
        <v>CUMPLE</v>
      </c>
    </row>
    <row r="165" spans="1:11" x14ac:dyDescent="0.3">
      <c r="F165" s="1"/>
      <c r="G165" s="1"/>
      <c r="I165" s="1"/>
    </row>
    <row r="167" spans="1:11" ht="18" x14ac:dyDescent="0.35">
      <c r="A167" s="26" t="s">
        <v>112</v>
      </c>
    </row>
    <row r="168" spans="1:11" x14ac:dyDescent="0.3">
      <c r="B168" s="2" t="s">
        <v>20</v>
      </c>
      <c r="C168" s="2" t="s">
        <v>13</v>
      </c>
      <c r="D168" s="2" t="s">
        <v>17</v>
      </c>
      <c r="E168" s="2" t="s">
        <v>22</v>
      </c>
      <c r="F168" s="2" t="s">
        <v>18</v>
      </c>
      <c r="G168" s="2" t="s">
        <v>19</v>
      </c>
    </row>
    <row r="169" spans="1:11" x14ac:dyDescent="0.3">
      <c r="A169" s="2" t="s">
        <v>86</v>
      </c>
      <c r="B169" s="2">
        <f>(116/2)/10000</f>
        <v>5.7999999999999996E-3</v>
      </c>
      <c r="C169" s="2">
        <v>0.97</v>
      </c>
      <c r="D169" s="2">
        <v>100</v>
      </c>
      <c r="E169" s="2"/>
      <c r="F169" s="6">
        <f t="shared" ref="F169" si="7">+B169*C169*D169/360</f>
        <v>1.5627777777777775E-3</v>
      </c>
      <c r="G169" s="2"/>
    </row>
    <row r="170" spans="1:11" x14ac:dyDescent="0.3">
      <c r="A170" s="2" t="s">
        <v>87</v>
      </c>
      <c r="B170" s="2">
        <f>(136/2)/10000</f>
        <v>6.7999999999999996E-3</v>
      </c>
      <c r="C170" s="2">
        <v>0.97</v>
      </c>
      <c r="D170" s="2">
        <v>100</v>
      </c>
      <c r="E170" s="2"/>
      <c r="F170" s="6">
        <f t="shared" ref="F170" si="8">+B170*C170*D170/360</f>
        <v>1.8322222222222221E-3</v>
      </c>
      <c r="G170" s="6"/>
    </row>
    <row r="171" spans="1:11" x14ac:dyDescent="0.3">
      <c r="A171" s="11"/>
      <c r="B171" s="24"/>
      <c r="C171" s="24"/>
      <c r="D171" s="24"/>
      <c r="E171" s="24"/>
      <c r="F171" s="12"/>
      <c r="G171" s="11"/>
    </row>
    <row r="172" spans="1:11" x14ac:dyDescent="0.3">
      <c r="A172" s="11"/>
      <c r="B172" s="11"/>
      <c r="C172" s="11"/>
      <c r="D172" s="11"/>
      <c r="E172" s="11"/>
      <c r="F172" s="12"/>
      <c r="G172" s="12"/>
    </row>
    <row r="173" spans="1:11" x14ac:dyDescent="0.3">
      <c r="F173" s="2" t="s">
        <v>43</v>
      </c>
      <c r="G173" s="6">
        <f>+F169+F170</f>
        <v>3.3949999999999996E-3</v>
      </c>
    </row>
    <row r="175" spans="1:11" x14ac:dyDescent="0.3">
      <c r="A175" s="1" t="s">
        <v>33</v>
      </c>
      <c r="B175" s="1"/>
      <c r="C175" s="1"/>
    </row>
    <row r="176" spans="1:11" x14ac:dyDescent="0.3">
      <c r="A176" s="5" t="s">
        <v>34</v>
      </c>
      <c r="B176" s="14">
        <f>+G173</f>
        <v>3.3949999999999996E-3</v>
      </c>
      <c r="C176" t="s">
        <v>15</v>
      </c>
    </row>
    <row r="177" spans="1:11" x14ac:dyDescent="0.3">
      <c r="A177" s="5" t="s">
        <v>44</v>
      </c>
      <c r="B177" s="7">
        <v>1.2999999999999999E-2</v>
      </c>
    </row>
    <row r="178" spans="1:11" x14ac:dyDescent="0.3">
      <c r="A178" s="5" t="s">
        <v>35</v>
      </c>
      <c r="B178" s="7">
        <v>0</v>
      </c>
    </row>
    <row r="179" spans="1:11" x14ac:dyDescent="0.3">
      <c r="A179" s="5" t="s">
        <v>36</v>
      </c>
      <c r="B179" s="7">
        <v>0.2</v>
      </c>
      <c r="C179" t="s">
        <v>49</v>
      </c>
    </row>
    <row r="180" spans="1:11" x14ac:dyDescent="0.3">
      <c r="A180" s="5" t="s">
        <v>38</v>
      </c>
      <c r="B180" s="7">
        <v>0.01</v>
      </c>
      <c r="C180" t="s">
        <v>50</v>
      </c>
    </row>
    <row r="181" spans="1:11" x14ac:dyDescent="0.3">
      <c r="A181" s="5" t="s">
        <v>48</v>
      </c>
      <c r="B181" s="7">
        <v>0.85</v>
      </c>
      <c r="C181" t="s">
        <v>49</v>
      </c>
      <c r="G181" s="13"/>
      <c r="H181" s="13"/>
    </row>
    <row r="183" spans="1:11" x14ac:dyDescent="0.3">
      <c r="A183" s="8" t="s">
        <v>37</v>
      </c>
      <c r="B183" s="2" t="s">
        <v>38</v>
      </c>
      <c r="C183" s="5" t="s">
        <v>39</v>
      </c>
      <c r="D183" s="5" t="s">
        <v>40</v>
      </c>
      <c r="E183" s="5" t="s">
        <v>41</v>
      </c>
      <c r="F183" s="5" t="s">
        <v>34</v>
      </c>
      <c r="G183" s="17" t="s">
        <v>45</v>
      </c>
      <c r="H183" s="8" t="s">
        <v>60</v>
      </c>
      <c r="I183" s="17" t="s">
        <v>46</v>
      </c>
      <c r="J183" s="8" t="s">
        <v>101</v>
      </c>
      <c r="K183" s="8" t="s">
        <v>96</v>
      </c>
    </row>
    <row r="184" spans="1:11" x14ac:dyDescent="0.3">
      <c r="A184" s="9">
        <v>2.421799179125423E-2</v>
      </c>
      <c r="B184" s="4">
        <f>+B180</f>
        <v>0.01</v>
      </c>
      <c r="C184" s="2">
        <f>+A184*B179</f>
        <v>4.8435983582508467E-3</v>
      </c>
      <c r="D184" s="2">
        <f>+B179+2*A184</f>
        <v>0.24843598358250846</v>
      </c>
      <c r="E184" s="2">
        <f>C184/D184</f>
        <v>1.9496363966302135E-2</v>
      </c>
      <c r="F184" s="2">
        <f>C184*(E184^(2/3))*(B184^(1/2))/B177</f>
        <v>2.6989438759387812E-3</v>
      </c>
      <c r="G184" s="31">
        <f>ROUND(A184,2)</f>
        <v>0.02</v>
      </c>
      <c r="H184" s="20">
        <f>+ROUND(G184,4)*100</f>
        <v>2</v>
      </c>
      <c r="I184" s="2">
        <f>4/5*B181</f>
        <v>0.68</v>
      </c>
      <c r="J184" s="9">
        <f>+(B181-G184)*100</f>
        <v>83</v>
      </c>
      <c r="K184" s="20">
        <f>+B176/C184</f>
        <v>0.70092516944902616</v>
      </c>
    </row>
    <row r="186" spans="1:11" x14ac:dyDescent="0.3">
      <c r="F186" s="1" t="s">
        <v>47</v>
      </c>
      <c r="G186" s="1"/>
      <c r="H186" s="1"/>
      <c r="I186" s="1" t="str">
        <f>IF(G184&lt;I184,"CUMPLE","NO CUMPLE")</f>
        <v>CUMPLE</v>
      </c>
    </row>
    <row r="187" spans="1:11" x14ac:dyDescent="0.3">
      <c r="F187" s="1" t="s">
        <v>97</v>
      </c>
      <c r="G187" s="1"/>
      <c r="I187" s="1" t="str">
        <f>+IF(K184&lt;3,"CUMPLE","Verificar Ancho")</f>
        <v>CUMPLE</v>
      </c>
    </row>
    <row r="188" spans="1:11" x14ac:dyDescent="0.3">
      <c r="F188" s="1"/>
      <c r="G188" s="1"/>
      <c r="I188" s="1"/>
    </row>
    <row r="190" spans="1:11" ht="18" x14ac:dyDescent="0.35">
      <c r="A190" s="37" t="s">
        <v>113</v>
      </c>
    </row>
    <row r="191" spans="1:11" x14ac:dyDescent="0.3">
      <c r="B191" s="2" t="s">
        <v>20</v>
      </c>
      <c r="C191" s="2" t="s">
        <v>13</v>
      </c>
      <c r="D191" s="2" t="s">
        <v>17</v>
      </c>
      <c r="E191" s="2" t="s">
        <v>22</v>
      </c>
      <c r="F191" s="2" t="s">
        <v>18</v>
      </c>
      <c r="G191" s="2" t="s">
        <v>19</v>
      </c>
    </row>
    <row r="192" spans="1:11" x14ac:dyDescent="0.3">
      <c r="A192" s="2" t="s">
        <v>54</v>
      </c>
      <c r="B192" s="47"/>
      <c r="C192" s="48"/>
      <c r="D192" s="48"/>
      <c r="E192" s="49"/>
      <c r="F192" s="6">
        <f>+B176</f>
        <v>3.3949999999999996E-3</v>
      </c>
      <c r="G192" s="2"/>
    </row>
    <row r="193" spans="1:7" x14ac:dyDescent="0.3">
      <c r="A193" s="2" t="s">
        <v>87</v>
      </c>
      <c r="B193" s="2">
        <f>50/10000</f>
        <v>5.0000000000000001E-3</v>
      </c>
      <c r="C193" s="2">
        <v>0.97</v>
      </c>
      <c r="D193" s="2">
        <v>100</v>
      </c>
      <c r="E193" s="2"/>
      <c r="F193" s="6">
        <f t="shared" ref="F193" si="9">+B193*C193*D193/360</f>
        <v>1.3472222222222221E-3</v>
      </c>
      <c r="G193" s="6"/>
    </row>
    <row r="194" spans="1:7" x14ac:dyDescent="0.3">
      <c r="A194" s="11"/>
      <c r="B194" s="11"/>
      <c r="C194" s="11"/>
      <c r="D194" s="11"/>
      <c r="E194" s="11"/>
      <c r="F194" s="12"/>
      <c r="G194" s="12"/>
    </row>
    <row r="195" spans="1:7" x14ac:dyDescent="0.3">
      <c r="F195" s="2" t="s">
        <v>43</v>
      </c>
      <c r="G195" s="6">
        <f>+F192+F193</f>
        <v>4.7422222222222215E-3</v>
      </c>
    </row>
    <row r="196" spans="1:7" x14ac:dyDescent="0.3">
      <c r="A196" s="1" t="s">
        <v>71</v>
      </c>
      <c r="B196" s="1"/>
      <c r="C196" s="1"/>
    </row>
    <row r="197" spans="1:7" x14ac:dyDescent="0.3">
      <c r="A197" s="5" t="s">
        <v>66</v>
      </c>
      <c r="B197" s="14">
        <f>+G195</f>
        <v>4.7422222222222215E-3</v>
      </c>
      <c r="C197" t="s">
        <v>15</v>
      </c>
    </row>
    <row r="198" spans="1:7" x14ac:dyDescent="0.3">
      <c r="A198" s="5" t="s">
        <v>56</v>
      </c>
      <c r="B198" s="7">
        <v>0.01</v>
      </c>
      <c r="D198" s="1"/>
    </row>
    <row r="199" spans="1:7" ht="18" x14ac:dyDescent="0.35">
      <c r="A199" s="21" t="s">
        <v>68</v>
      </c>
      <c r="B199" s="15">
        <f>300*PI()/180</f>
        <v>5.2359877559829888</v>
      </c>
      <c r="C199" t="s">
        <v>58</v>
      </c>
    </row>
    <row r="200" spans="1:7" x14ac:dyDescent="0.3">
      <c r="A200" s="5" t="s">
        <v>38</v>
      </c>
      <c r="B200" s="7">
        <v>0.02</v>
      </c>
      <c r="C200" t="s">
        <v>50</v>
      </c>
    </row>
    <row r="201" spans="1:7" x14ac:dyDescent="0.3">
      <c r="A201" s="23" t="s">
        <v>57</v>
      </c>
      <c r="B201" s="22">
        <v>4</v>
      </c>
      <c r="C201" t="s">
        <v>65</v>
      </c>
      <c r="G201" s="13"/>
    </row>
    <row r="203" spans="1:7" x14ac:dyDescent="0.3">
      <c r="A203" s="8" t="s">
        <v>57</v>
      </c>
      <c r="B203" s="2" t="s">
        <v>38</v>
      </c>
      <c r="C203" s="5" t="s">
        <v>39</v>
      </c>
      <c r="D203" s="5" t="s">
        <v>40</v>
      </c>
      <c r="E203" s="5" t="s">
        <v>41</v>
      </c>
      <c r="F203" s="8" t="s">
        <v>99</v>
      </c>
      <c r="G203" s="8" t="s">
        <v>96</v>
      </c>
    </row>
    <row r="204" spans="1:7" x14ac:dyDescent="0.3">
      <c r="A204" s="9">
        <f>+B201*0.0254</f>
        <v>0.1016</v>
      </c>
      <c r="B204" s="2">
        <f>+B200</f>
        <v>0.02</v>
      </c>
      <c r="C204" s="4">
        <f>+((B199-SIN(B199))*(A204)^2)/8</f>
        <v>7.8735496203111068E-3</v>
      </c>
      <c r="D204" s="2">
        <f>+B199*A204/2</f>
        <v>0.26598817800393582</v>
      </c>
      <c r="E204" s="2">
        <f>(1-SIN(B199)/B199)*(A204)/4</f>
        <v>2.9601126183114054E-2</v>
      </c>
      <c r="F204" s="9">
        <f>C204*(E204^(2/3))*(B204^(1/2))/B198</f>
        <v>1.0655104730372636E-2</v>
      </c>
      <c r="G204" s="20">
        <f>+B197/C204</f>
        <v>0.60229787718475603</v>
      </c>
    </row>
    <row r="206" spans="1:7" x14ac:dyDescent="0.3">
      <c r="C206" s="1" t="s">
        <v>100</v>
      </c>
      <c r="D206" s="1"/>
      <c r="F206" s="1" t="str">
        <f>+IF(B197&lt;F204,"CUMPLE","NO CUMPLE")</f>
        <v>CUMPLE</v>
      </c>
      <c r="G206" s="1"/>
    </row>
    <row r="207" spans="1:7" x14ac:dyDescent="0.3">
      <c r="C207" s="1" t="s">
        <v>98</v>
      </c>
      <c r="D207" s="1"/>
      <c r="F207" s="1" t="str">
        <f>+IF(G204&lt;5,"CUMPLE","Verificar Diametro")</f>
        <v>CUMPLE</v>
      </c>
      <c r="G207" s="1"/>
    </row>
    <row r="208" spans="1:7" x14ac:dyDescent="0.3">
      <c r="C208" s="1" t="s">
        <v>69</v>
      </c>
      <c r="D208" s="1"/>
    </row>
    <row r="209" spans="1:7" x14ac:dyDescent="0.3">
      <c r="D209" s="27" t="s">
        <v>59</v>
      </c>
      <c r="E209" s="27">
        <f>IF(B197&lt;F204,A204/0.0254,"Modificar Diametro")</f>
        <v>4</v>
      </c>
      <c r="F209" s="27" t="s">
        <v>65</v>
      </c>
    </row>
    <row r="212" spans="1:7" ht="18" x14ac:dyDescent="0.35">
      <c r="A212" s="10" t="s">
        <v>190</v>
      </c>
    </row>
    <row r="213" spans="1:7" x14ac:dyDescent="0.3">
      <c r="B213" s="2" t="s">
        <v>20</v>
      </c>
      <c r="C213" s="2" t="s">
        <v>13</v>
      </c>
      <c r="D213" s="2" t="s">
        <v>17</v>
      </c>
      <c r="E213" s="2" t="s">
        <v>22</v>
      </c>
      <c r="F213" s="2" t="s">
        <v>18</v>
      </c>
      <c r="G213" s="2" t="s">
        <v>19</v>
      </c>
    </row>
    <row r="214" spans="1:7" x14ac:dyDescent="0.3">
      <c r="A214" s="2" t="s">
        <v>54</v>
      </c>
      <c r="B214" s="47"/>
      <c r="C214" s="48"/>
      <c r="D214" s="48"/>
      <c r="E214" s="49"/>
      <c r="F214" s="6">
        <f>+B197</f>
        <v>4.7422222222222215E-3</v>
      </c>
      <c r="G214" s="2"/>
    </row>
    <row r="215" spans="1:7" x14ac:dyDescent="0.3">
      <c r="A215" s="2" t="s">
        <v>94</v>
      </c>
      <c r="B215" s="2">
        <f>(360-45+20+136*0.5+90*0.5)/10000</f>
        <v>4.48E-2</v>
      </c>
      <c r="C215" s="2">
        <v>0.97</v>
      </c>
      <c r="D215" s="2">
        <v>100</v>
      </c>
      <c r="E215" s="2"/>
      <c r="F215" s="6">
        <f t="shared" ref="F215:F216" si="10">+B215*C215*D215/360</f>
        <v>1.2071111111111112E-2</v>
      </c>
      <c r="G215" s="2"/>
    </row>
    <row r="216" spans="1:7" x14ac:dyDescent="0.3">
      <c r="A216" s="2" t="s">
        <v>128</v>
      </c>
      <c r="B216" s="2">
        <f>(0.5*660)/10000</f>
        <v>3.3000000000000002E-2</v>
      </c>
      <c r="C216" s="2">
        <v>0.97</v>
      </c>
      <c r="D216" s="2">
        <v>100</v>
      </c>
      <c r="E216" s="2"/>
      <c r="F216" s="6">
        <f t="shared" si="10"/>
        <v>8.8916666666666675E-3</v>
      </c>
      <c r="G216" s="2"/>
    </row>
    <row r="217" spans="1:7" x14ac:dyDescent="0.3">
      <c r="A217" s="11"/>
      <c r="B217" s="11"/>
      <c r="C217" s="11"/>
      <c r="D217" s="11"/>
      <c r="E217" s="11"/>
      <c r="F217" s="12"/>
      <c r="G217" s="12"/>
    </row>
    <row r="218" spans="1:7" x14ac:dyDescent="0.3">
      <c r="F218" s="2" t="s">
        <v>43</v>
      </c>
      <c r="G218" s="6">
        <f>+F214+F215+F216</f>
        <v>2.5704999999999999E-2</v>
      </c>
    </row>
    <row r="220" spans="1:7" x14ac:dyDescent="0.3">
      <c r="A220" s="1" t="s">
        <v>33</v>
      </c>
      <c r="B220" s="1"/>
      <c r="C220" s="1"/>
    </row>
    <row r="221" spans="1:7" x14ac:dyDescent="0.3">
      <c r="A221" s="5" t="s">
        <v>34</v>
      </c>
      <c r="B221" s="14">
        <f>+G218</f>
        <v>2.5704999999999999E-2</v>
      </c>
      <c r="C221" t="s">
        <v>15</v>
      </c>
    </row>
    <row r="222" spans="1:7" x14ac:dyDescent="0.3">
      <c r="A222" s="5" t="s">
        <v>44</v>
      </c>
      <c r="B222" s="7">
        <v>1.2999999999999999E-2</v>
      </c>
    </row>
    <row r="223" spans="1:7" x14ac:dyDescent="0.3">
      <c r="A223" s="5" t="s">
        <v>35</v>
      </c>
      <c r="B223" s="7">
        <v>0</v>
      </c>
    </row>
    <row r="224" spans="1:7" x14ac:dyDescent="0.3">
      <c r="A224" s="5" t="s">
        <v>36</v>
      </c>
      <c r="B224" s="7">
        <v>0.3</v>
      </c>
      <c r="C224" t="s">
        <v>49</v>
      </c>
    </row>
    <row r="225" spans="1:11" x14ac:dyDescent="0.3">
      <c r="A225" s="5" t="s">
        <v>38</v>
      </c>
      <c r="B225" s="7">
        <v>0.01</v>
      </c>
      <c r="C225" t="s">
        <v>50</v>
      </c>
    </row>
    <row r="226" spans="1:11" x14ac:dyDescent="0.3">
      <c r="A226" s="5" t="s">
        <v>48</v>
      </c>
      <c r="B226" s="7">
        <v>0.69</v>
      </c>
      <c r="C226" t="s">
        <v>49</v>
      </c>
      <c r="G226" s="13"/>
      <c r="H226" s="13"/>
    </row>
    <row r="228" spans="1:11" x14ac:dyDescent="0.3">
      <c r="A228" s="8" t="s">
        <v>37</v>
      </c>
      <c r="B228" s="2" t="s">
        <v>38</v>
      </c>
      <c r="C228" s="5" t="s">
        <v>39</v>
      </c>
      <c r="D228" s="5" t="s">
        <v>40</v>
      </c>
      <c r="E228" s="5" t="s">
        <v>41</v>
      </c>
      <c r="F228" s="5" t="s">
        <v>34</v>
      </c>
      <c r="G228" s="17" t="s">
        <v>45</v>
      </c>
      <c r="H228" s="8" t="s">
        <v>60</v>
      </c>
      <c r="I228" s="17" t="s">
        <v>46</v>
      </c>
      <c r="J228" s="8" t="s">
        <v>101</v>
      </c>
      <c r="K228" s="8" t="s">
        <v>96</v>
      </c>
    </row>
    <row r="229" spans="1:11" x14ac:dyDescent="0.3">
      <c r="A229" s="9">
        <v>8.10671333125835E-2</v>
      </c>
      <c r="B229" s="4">
        <f>+B225</f>
        <v>0.01</v>
      </c>
      <c r="C229" s="2">
        <f>+A229*B224</f>
        <v>2.4320139993775049E-2</v>
      </c>
      <c r="D229" s="2">
        <f>+B224+2*A229</f>
        <v>0.46213426662516699</v>
      </c>
      <c r="E229" s="2">
        <f>C229/D229</f>
        <v>5.2625701555043744E-2</v>
      </c>
      <c r="F229" s="2">
        <f>C229*(E229^(2/3))*(B229^(1/2))/B222</f>
        <v>2.6271688365751684E-2</v>
      </c>
      <c r="G229" s="31">
        <f>ROUND(A229,2)</f>
        <v>0.08</v>
      </c>
      <c r="H229" s="20">
        <f>+ROUND(G229,4)*100</f>
        <v>8</v>
      </c>
      <c r="I229" s="2">
        <f>4/5*B226</f>
        <v>0.55199999999999994</v>
      </c>
      <c r="J229" s="9">
        <f>+(B226-G229)*100</f>
        <v>61</v>
      </c>
      <c r="K229" s="20">
        <f>+B221/C229</f>
        <v>1.0569429290530159</v>
      </c>
    </row>
    <row r="231" spans="1:11" x14ac:dyDescent="0.3">
      <c r="F231" s="1" t="s">
        <v>47</v>
      </c>
      <c r="G231" s="1"/>
      <c r="H231" s="1"/>
      <c r="I231" s="1" t="str">
        <f>IF(G229&lt;I229,"CUMPLE","NO CUMPLE")</f>
        <v>CUMPLE</v>
      </c>
    </row>
    <row r="232" spans="1:11" x14ac:dyDescent="0.3">
      <c r="F232" s="1" t="s">
        <v>97</v>
      </c>
      <c r="G232" s="1"/>
      <c r="I232" s="1" t="str">
        <f>+IF(K229&lt;3,"CUMPLE","Verificar Ancho")</f>
        <v>CUMPLE</v>
      </c>
    </row>
    <row r="233" spans="1:11" x14ac:dyDescent="0.3">
      <c r="F233" s="1"/>
      <c r="G233" s="1"/>
      <c r="I233" s="1"/>
    </row>
    <row r="235" spans="1:11" ht="18" x14ac:dyDescent="0.35">
      <c r="A235" s="37" t="s">
        <v>147</v>
      </c>
    </row>
    <row r="236" spans="1:11" x14ac:dyDescent="0.3">
      <c r="B236" s="2" t="s">
        <v>20</v>
      </c>
      <c r="C236" s="2" t="s">
        <v>13</v>
      </c>
      <c r="D236" s="2" t="s">
        <v>17</v>
      </c>
      <c r="E236" s="2" t="s">
        <v>22</v>
      </c>
      <c r="F236" s="2" t="s">
        <v>18</v>
      </c>
      <c r="G236" s="2" t="s">
        <v>19</v>
      </c>
    </row>
    <row r="237" spans="1:11" x14ac:dyDescent="0.3">
      <c r="A237" s="2" t="s">
        <v>54</v>
      </c>
      <c r="B237" s="47"/>
      <c r="C237" s="48"/>
      <c r="D237" s="48"/>
      <c r="E237" s="49"/>
      <c r="F237" s="6">
        <f>+B221</f>
        <v>2.5704999999999999E-2</v>
      </c>
      <c r="G237" s="2"/>
    </row>
    <row r="238" spans="1:11" x14ac:dyDescent="0.3">
      <c r="A238" s="11"/>
      <c r="B238" s="11"/>
      <c r="C238" s="11"/>
      <c r="D238" s="11"/>
      <c r="E238" s="11"/>
      <c r="F238" s="12"/>
      <c r="G238" s="12"/>
    </row>
    <row r="239" spans="1:11" x14ac:dyDescent="0.3">
      <c r="F239" s="2" t="s">
        <v>43</v>
      </c>
      <c r="G239" s="6">
        <f>+F237</f>
        <v>2.5704999999999999E-2</v>
      </c>
    </row>
    <row r="240" spans="1:11" x14ac:dyDescent="0.3">
      <c r="A240" s="1" t="s">
        <v>71</v>
      </c>
      <c r="B240" s="1"/>
      <c r="C240" s="1"/>
    </row>
    <row r="241" spans="1:7" x14ac:dyDescent="0.3">
      <c r="A241" s="5" t="s">
        <v>66</v>
      </c>
      <c r="B241" s="14">
        <f>+G239</f>
        <v>2.5704999999999999E-2</v>
      </c>
      <c r="C241" t="s">
        <v>15</v>
      </c>
    </row>
    <row r="242" spans="1:7" x14ac:dyDescent="0.3">
      <c r="A242" s="5" t="s">
        <v>56</v>
      </c>
      <c r="B242" s="7">
        <v>0.01</v>
      </c>
      <c r="D242" s="1"/>
    </row>
    <row r="243" spans="1:7" ht="18" x14ac:dyDescent="0.35">
      <c r="A243" s="21" t="s">
        <v>93</v>
      </c>
      <c r="B243" s="15">
        <f>180*PI()/180</f>
        <v>3.1415926535897931</v>
      </c>
      <c r="C243" t="s">
        <v>58</v>
      </c>
    </row>
    <row r="244" spans="1:7" x14ac:dyDescent="0.3">
      <c r="A244" s="5" t="s">
        <v>90</v>
      </c>
      <c r="B244" s="7">
        <v>3.6999999999999998E-2</v>
      </c>
      <c r="C244" t="s">
        <v>50</v>
      </c>
    </row>
    <row r="245" spans="1:7" x14ac:dyDescent="0.3">
      <c r="A245" s="23" t="s">
        <v>57</v>
      </c>
      <c r="B245" s="22">
        <v>8</v>
      </c>
      <c r="C245" t="s">
        <v>65</v>
      </c>
      <c r="G245" s="13"/>
    </row>
    <row r="247" spans="1:7" x14ac:dyDescent="0.3">
      <c r="A247" s="8" t="s">
        <v>57</v>
      </c>
      <c r="B247" s="2" t="s">
        <v>38</v>
      </c>
      <c r="C247" s="5" t="s">
        <v>39</v>
      </c>
      <c r="D247" s="5" t="s">
        <v>40</v>
      </c>
      <c r="E247" s="5" t="s">
        <v>41</v>
      </c>
      <c r="F247" s="8" t="s">
        <v>99</v>
      </c>
      <c r="G247" s="8" t="s">
        <v>96</v>
      </c>
    </row>
    <row r="248" spans="1:7" x14ac:dyDescent="0.3">
      <c r="A248" s="9">
        <f>+B245*0.0254</f>
        <v>0.20319999999999999</v>
      </c>
      <c r="B248" s="2">
        <f>+B244</f>
        <v>3.6999999999999998E-2</v>
      </c>
      <c r="C248" s="4">
        <f>+((B243-SIN(B243))*(A248)^2)/8</f>
        <v>1.6214639331119926E-2</v>
      </c>
      <c r="D248" s="2">
        <f>+B243*A248/2</f>
        <v>0.31918581360472298</v>
      </c>
      <c r="E248" s="2">
        <f>(1-SIN(B243)/B243)*(A248)/4</f>
        <v>5.0799999999999998E-2</v>
      </c>
      <c r="F248" s="9">
        <f>C248*(E248^(2/3))*(B248^(1/2))/B242</f>
        <v>4.2780970239833516E-2</v>
      </c>
      <c r="G248" s="20">
        <f>+B241/C248</f>
        <v>1.5852958228102989</v>
      </c>
    </row>
    <row r="250" spans="1:7" x14ac:dyDescent="0.3">
      <c r="C250" s="1" t="s">
        <v>100</v>
      </c>
      <c r="D250" s="1"/>
      <c r="F250" s="1" t="str">
        <f>+IF(B241&lt;F248,"CUMPLE","NO CUMPLE")</f>
        <v>CUMPLE</v>
      </c>
      <c r="G250" s="1"/>
    </row>
    <row r="251" spans="1:7" x14ac:dyDescent="0.3">
      <c r="C251" s="1" t="s">
        <v>98</v>
      </c>
      <c r="D251" s="1"/>
      <c r="F251" s="1" t="str">
        <f>+IF(G248&lt;5,"CUMPLE","Verificar Diametro")</f>
        <v>CUMPLE</v>
      </c>
      <c r="G251" s="1"/>
    </row>
    <row r="252" spans="1:7" x14ac:dyDescent="0.3">
      <c r="C252" s="1" t="s">
        <v>69</v>
      </c>
      <c r="D252" s="1"/>
    </row>
    <row r="253" spans="1:7" x14ac:dyDescent="0.3">
      <c r="D253" s="27" t="s">
        <v>59</v>
      </c>
      <c r="E253" s="27">
        <f>IF(B241&lt;F248,A248/0.0254,"Modificar Diametro")</f>
        <v>8</v>
      </c>
      <c r="F253" s="27" t="s">
        <v>65</v>
      </c>
    </row>
    <row r="255" spans="1:7" ht="18" x14ac:dyDescent="0.35">
      <c r="A255" s="10" t="s">
        <v>114</v>
      </c>
    </row>
    <row r="256" spans="1:7" x14ac:dyDescent="0.3">
      <c r="B256" s="2" t="s">
        <v>20</v>
      </c>
      <c r="C256" s="2" t="s">
        <v>13</v>
      </c>
      <c r="D256" s="2" t="s">
        <v>17</v>
      </c>
      <c r="E256" s="2" t="s">
        <v>22</v>
      </c>
      <c r="F256" s="2" t="s">
        <v>18</v>
      </c>
      <c r="G256" s="2" t="s">
        <v>19</v>
      </c>
    </row>
    <row r="257" spans="1:11" x14ac:dyDescent="0.3">
      <c r="A257" s="2" t="s">
        <v>54</v>
      </c>
      <c r="B257" s="47"/>
      <c r="C257" s="48"/>
      <c r="D257" s="48"/>
      <c r="E257" s="49"/>
      <c r="F257" s="6">
        <f>+B153+B241</f>
        <v>5.508737777777778E-2</v>
      </c>
      <c r="G257" s="2"/>
    </row>
    <row r="258" spans="1:11" x14ac:dyDescent="0.3">
      <c r="A258" s="2" t="s">
        <v>128</v>
      </c>
      <c r="B258" s="2">
        <f>(0.25*660)/10000</f>
        <v>1.6500000000000001E-2</v>
      </c>
      <c r="C258" s="2">
        <v>0.97</v>
      </c>
      <c r="D258" s="2">
        <v>100</v>
      </c>
      <c r="E258" s="2"/>
      <c r="F258" s="6">
        <f t="shared" ref="F258:F259" si="11">+B258*C258*D258/360</f>
        <v>4.4458333333333338E-3</v>
      </c>
      <c r="G258" s="2"/>
    </row>
    <row r="259" spans="1:11" x14ac:dyDescent="0.3">
      <c r="A259" s="2" t="s">
        <v>94</v>
      </c>
      <c r="B259" s="2">
        <f>(45)/10000</f>
        <v>4.4999999999999997E-3</v>
      </c>
      <c r="C259" s="2">
        <v>0.97</v>
      </c>
      <c r="D259" s="2">
        <v>100</v>
      </c>
      <c r="E259" s="2"/>
      <c r="F259" s="6">
        <f t="shared" si="11"/>
        <v>1.2125E-3</v>
      </c>
      <c r="G259" s="2"/>
    </row>
    <row r="260" spans="1:11" x14ac:dyDescent="0.3">
      <c r="A260" s="11"/>
      <c r="B260" s="11"/>
      <c r="C260" s="11"/>
      <c r="D260" s="11"/>
      <c r="E260" s="11"/>
      <c r="F260" s="12"/>
      <c r="G260" s="12"/>
    </row>
    <row r="261" spans="1:11" x14ac:dyDescent="0.3">
      <c r="F261" s="2" t="s">
        <v>43</v>
      </c>
      <c r="G261" s="6">
        <f>+F257+F258+F259</f>
        <v>6.0745711111111114E-2</v>
      </c>
    </row>
    <row r="263" spans="1:11" x14ac:dyDescent="0.3">
      <c r="A263" s="1" t="s">
        <v>33</v>
      </c>
      <c r="B263" s="1"/>
      <c r="C263" s="1"/>
    </row>
    <row r="264" spans="1:11" x14ac:dyDescent="0.3">
      <c r="A264" s="5" t="s">
        <v>34</v>
      </c>
      <c r="B264" s="14">
        <f>+G261</f>
        <v>6.0745711111111114E-2</v>
      </c>
      <c r="C264" t="s">
        <v>15</v>
      </c>
    </row>
    <row r="265" spans="1:11" x14ac:dyDescent="0.3">
      <c r="A265" s="5" t="s">
        <v>44</v>
      </c>
      <c r="B265" s="7">
        <v>1.2999999999999999E-2</v>
      </c>
    </row>
    <row r="266" spans="1:11" x14ac:dyDescent="0.3">
      <c r="A266" s="5" t="s">
        <v>35</v>
      </c>
      <c r="B266" s="7">
        <v>0</v>
      </c>
    </row>
    <row r="267" spans="1:11" x14ac:dyDescent="0.3">
      <c r="A267" s="5" t="s">
        <v>36</v>
      </c>
      <c r="B267" s="7">
        <v>0.3</v>
      </c>
      <c r="C267" t="s">
        <v>49</v>
      </c>
    </row>
    <row r="268" spans="1:11" x14ac:dyDescent="0.3">
      <c r="A268" s="5" t="s">
        <v>38</v>
      </c>
      <c r="B268" s="7">
        <v>0.01</v>
      </c>
      <c r="C268" t="s">
        <v>50</v>
      </c>
    </row>
    <row r="269" spans="1:11" x14ac:dyDescent="0.3">
      <c r="A269" s="5" t="s">
        <v>48</v>
      </c>
      <c r="B269" s="7">
        <v>0.69</v>
      </c>
      <c r="C269" t="s">
        <v>49</v>
      </c>
      <c r="G269" s="13"/>
      <c r="H269" s="13"/>
    </row>
    <row r="271" spans="1:11" x14ac:dyDescent="0.3">
      <c r="A271" s="8" t="s">
        <v>37</v>
      </c>
      <c r="B271" s="2" t="s">
        <v>38</v>
      </c>
      <c r="C271" s="5" t="s">
        <v>39</v>
      </c>
      <c r="D271" s="5" t="s">
        <v>40</v>
      </c>
      <c r="E271" s="5" t="s">
        <v>41</v>
      </c>
      <c r="F271" s="5" t="s">
        <v>34</v>
      </c>
      <c r="G271" s="17" t="s">
        <v>45</v>
      </c>
      <c r="H271" s="8" t="s">
        <v>60</v>
      </c>
      <c r="I271" s="17" t="s">
        <v>46</v>
      </c>
      <c r="J271" s="8" t="s">
        <v>101</v>
      </c>
      <c r="K271" s="8" t="s">
        <v>96</v>
      </c>
    </row>
    <row r="272" spans="1:11" x14ac:dyDescent="0.3">
      <c r="A272" s="9">
        <v>0.15016138662534165</v>
      </c>
      <c r="B272" s="4">
        <f>+B268</f>
        <v>0.01</v>
      </c>
      <c r="C272" s="2">
        <f>+A272*B267</f>
        <v>4.5048415987602494E-2</v>
      </c>
      <c r="D272" s="2">
        <f>+B267+2*A272</f>
        <v>0.60032277325068328</v>
      </c>
      <c r="E272" s="2">
        <f>C272/D272</f>
        <v>7.5040324963302929E-2</v>
      </c>
      <c r="F272" s="2">
        <f>C272*(E272^(2/3))*(B272^(1/2))/B265</f>
        <v>6.1649937855113593E-2</v>
      </c>
      <c r="G272" s="31">
        <f>ROUND(A272,2)</f>
        <v>0.15</v>
      </c>
      <c r="H272" s="20">
        <f>+ROUND(G272,4)*100</f>
        <v>15</v>
      </c>
      <c r="I272" s="2">
        <f>4/5*B269</f>
        <v>0.55199999999999994</v>
      </c>
      <c r="J272" s="9">
        <f>+(B269-G272)*100</f>
        <v>53.999999999999993</v>
      </c>
      <c r="K272" s="20">
        <f>+B264/C272</f>
        <v>1.3484538752223514</v>
      </c>
    </row>
    <row r="274" spans="1:9" x14ac:dyDescent="0.3">
      <c r="F274" s="1" t="s">
        <v>47</v>
      </c>
      <c r="G274" s="1"/>
      <c r="H274" s="1"/>
      <c r="I274" s="1" t="str">
        <f>IF(G272&lt;I272,"CUMPLE","NO CUMPLE")</f>
        <v>CUMPLE</v>
      </c>
    </row>
    <row r="275" spans="1:9" x14ac:dyDescent="0.3">
      <c r="F275" s="1" t="s">
        <v>97</v>
      </c>
      <c r="G275" s="1"/>
      <c r="I275" s="1" t="str">
        <f>+IF(K272&lt;3,"CUMPLE","Verificar Ancho")</f>
        <v>CUMPLE</v>
      </c>
    </row>
    <row r="276" spans="1:9" x14ac:dyDescent="0.3">
      <c r="F276" s="1"/>
      <c r="G276" s="1"/>
      <c r="I276" s="1"/>
    </row>
    <row r="278" spans="1:9" ht="18" x14ac:dyDescent="0.35">
      <c r="A278" s="10" t="s">
        <v>89</v>
      </c>
    </row>
    <row r="279" spans="1:9" x14ac:dyDescent="0.3">
      <c r="B279" s="2" t="s">
        <v>20</v>
      </c>
      <c r="C279" s="2" t="s">
        <v>13</v>
      </c>
      <c r="D279" s="2" t="s">
        <v>17</v>
      </c>
      <c r="E279" s="2" t="s">
        <v>22</v>
      </c>
      <c r="F279" s="2" t="s">
        <v>18</v>
      </c>
      <c r="G279" s="2" t="s">
        <v>19</v>
      </c>
    </row>
    <row r="280" spans="1:9" x14ac:dyDescent="0.3">
      <c r="A280" s="2" t="s">
        <v>54</v>
      </c>
      <c r="B280" s="47"/>
      <c r="C280" s="48"/>
      <c r="D280" s="48"/>
      <c r="E280" s="49"/>
      <c r="F280" s="6">
        <f>+B264</f>
        <v>6.0745711111111114E-2</v>
      </c>
      <c r="G280" s="2"/>
    </row>
    <row r="281" spans="1:9" x14ac:dyDescent="0.3">
      <c r="A281" s="7" t="s">
        <v>25</v>
      </c>
      <c r="B281" s="2">
        <f>+$B$8/10000</f>
        <v>3.5923999999999998E-2</v>
      </c>
      <c r="C281" s="2">
        <v>0.97</v>
      </c>
      <c r="D281" s="2">
        <v>100</v>
      </c>
      <c r="E281" s="2">
        <v>6</v>
      </c>
      <c r="F281" s="6">
        <f t="shared" ref="F281" si="12">+B281*C281*D281/360</f>
        <v>9.679522222222221E-3</v>
      </c>
      <c r="G281" s="6">
        <f t="shared" ref="G281" si="13">+F281/E281</f>
        <v>1.6132537037037034E-3</v>
      </c>
    </row>
    <row r="282" spans="1:9" x14ac:dyDescent="0.3">
      <c r="A282" s="11"/>
      <c r="B282" s="11"/>
      <c r="C282" s="11"/>
      <c r="D282" s="11"/>
      <c r="E282" s="11"/>
      <c r="F282" s="12"/>
      <c r="G282" s="12"/>
    </row>
    <row r="283" spans="1:9" x14ac:dyDescent="0.3">
      <c r="F283" s="2" t="s">
        <v>43</v>
      </c>
      <c r="G283" s="6">
        <f>+F280+G281</f>
        <v>6.2358964814814816E-2</v>
      </c>
    </row>
    <row r="284" spans="1:9" x14ac:dyDescent="0.3">
      <c r="A284" s="1" t="s">
        <v>71</v>
      </c>
      <c r="B284" s="1"/>
      <c r="C284" s="1"/>
    </row>
    <row r="285" spans="1:9" x14ac:dyDescent="0.3">
      <c r="A285" s="5" t="s">
        <v>66</v>
      </c>
      <c r="B285" s="14">
        <f>+G283</f>
        <v>6.2358964814814816E-2</v>
      </c>
      <c r="C285" t="s">
        <v>15</v>
      </c>
    </row>
    <row r="286" spans="1:9" x14ac:dyDescent="0.3">
      <c r="A286" s="5" t="s">
        <v>56</v>
      </c>
      <c r="B286" s="7">
        <v>0.01</v>
      </c>
      <c r="D286" s="1"/>
      <c r="E286" s="1"/>
    </row>
    <row r="287" spans="1:9" ht="18" x14ac:dyDescent="0.35">
      <c r="A287" s="21" t="s">
        <v>93</v>
      </c>
      <c r="B287" s="15">
        <f>180*PI()/180</f>
        <v>3.1415926535897931</v>
      </c>
      <c r="C287" t="s">
        <v>58</v>
      </c>
    </row>
    <row r="288" spans="1:9" x14ac:dyDescent="0.3">
      <c r="A288" s="5" t="s">
        <v>38</v>
      </c>
      <c r="B288" s="7">
        <v>0.01</v>
      </c>
      <c r="C288" t="s">
        <v>50</v>
      </c>
    </row>
    <row r="289" spans="1:7" x14ac:dyDescent="0.3">
      <c r="A289" s="23" t="s">
        <v>57</v>
      </c>
      <c r="B289" s="22">
        <v>12</v>
      </c>
      <c r="C289" t="s">
        <v>65</v>
      </c>
      <c r="G289" s="13"/>
    </row>
    <row r="291" spans="1:7" x14ac:dyDescent="0.3">
      <c r="A291" s="8" t="s">
        <v>57</v>
      </c>
      <c r="B291" s="2" t="s">
        <v>38</v>
      </c>
      <c r="C291" s="5" t="s">
        <v>39</v>
      </c>
      <c r="D291" s="5" t="s">
        <v>40</v>
      </c>
      <c r="E291" s="5" t="s">
        <v>41</v>
      </c>
      <c r="F291" s="5" t="s">
        <v>99</v>
      </c>
      <c r="G291" s="17" t="s">
        <v>96</v>
      </c>
    </row>
    <row r="292" spans="1:7" x14ac:dyDescent="0.3">
      <c r="A292" s="9">
        <f>+B289*0.0254</f>
        <v>0.30479999999999996</v>
      </c>
      <c r="B292" s="2">
        <f>+B288</f>
        <v>0.01</v>
      </c>
      <c r="C292" s="4">
        <f>+((B287-SIN(B287))*(A292)^2)/8</f>
        <v>3.648293849501983E-2</v>
      </c>
      <c r="D292" s="2">
        <f>+B287*A292/2</f>
        <v>0.47877872040708441</v>
      </c>
      <c r="E292" s="2">
        <f>(1-SIN(B287)/B287)*(A292)/4</f>
        <v>7.619999999999999E-2</v>
      </c>
      <c r="F292" s="2">
        <f>C292*(E292^(2/3))*(B292^(1/2))/B286</f>
        <v>6.5573212178423684E-2</v>
      </c>
      <c r="G292" s="32">
        <f>+B285/C292</f>
        <v>1.7092637651248197</v>
      </c>
    </row>
    <row r="294" spans="1:7" x14ac:dyDescent="0.3">
      <c r="C294" s="1" t="s">
        <v>100</v>
      </c>
      <c r="D294" s="1"/>
      <c r="F294" s="1" t="str">
        <f>+IF(B285&lt;F292,"CUMPLE","NO CUMPLE")</f>
        <v>CUMPLE</v>
      </c>
      <c r="G294" s="1"/>
    </row>
    <row r="295" spans="1:7" x14ac:dyDescent="0.3">
      <c r="C295" s="1" t="s">
        <v>98</v>
      </c>
      <c r="D295" s="1"/>
      <c r="F295" s="1" t="str">
        <f>+IF(G292&lt;5,"CUMPLE","Verificar Diametro")</f>
        <v>CUMPLE</v>
      </c>
    </row>
    <row r="296" spans="1:7" x14ac:dyDescent="0.3">
      <c r="C296" s="1" t="s">
        <v>69</v>
      </c>
      <c r="D296" s="1"/>
    </row>
    <row r="297" spans="1:7" x14ac:dyDescent="0.3">
      <c r="D297" s="27" t="s">
        <v>59</v>
      </c>
      <c r="E297" s="27">
        <f>IF(B285&lt;F292,A292/0.0254,"Modificar Diametro")</f>
        <v>11.999999999999998</v>
      </c>
      <c r="F297" s="27" t="s">
        <v>65</v>
      </c>
    </row>
    <row r="300" spans="1:7" ht="18" x14ac:dyDescent="0.35">
      <c r="A300" s="37" t="s">
        <v>118</v>
      </c>
    </row>
    <row r="301" spans="1:7" x14ac:dyDescent="0.3">
      <c r="B301" s="2" t="s">
        <v>20</v>
      </c>
      <c r="C301" s="2" t="s">
        <v>13</v>
      </c>
      <c r="D301" s="2" t="s">
        <v>17</v>
      </c>
      <c r="E301" s="2" t="s">
        <v>22</v>
      </c>
      <c r="F301" s="2" t="s">
        <v>18</v>
      </c>
      <c r="G301" s="2" t="s">
        <v>19</v>
      </c>
    </row>
    <row r="302" spans="1:7" x14ac:dyDescent="0.3">
      <c r="A302" s="2" t="s">
        <v>54</v>
      </c>
      <c r="B302" s="47"/>
      <c r="C302" s="48"/>
      <c r="D302" s="48"/>
      <c r="E302" s="49"/>
      <c r="F302" s="6">
        <f>+B285</f>
        <v>6.2358964814814816E-2</v>
      </c>
      <c r="G302" s="2"/>
    </row>
    <row r="303" spans="1:7" x14ac:dyDescent="0.3">
      <c r="A303" s="2" t="s">
        <v>88</v>
      </c>
      <c r="B303" s="2">
        <f>102/10000</f>
        <v>1.0200000000000001E-2</v>
      </c>
      <c r="C303" s="2">
        <v>0.97</v>
      </c>
      <c r="D303" s="2">
        <v>100</v>
      </c>
      <c r="E303" s="2"/>
      <c r="F303" s="6">
        <f t="shared" ref="F303:F304" si="14">+B303*C303*D303/360</f>
        <v>2.7483333333333335E-3</v>
      </c>
      <c r="G303" s="2"/>
    </row>
    <row r="304" spans="1:7" x14ac:dyDescent="0.3">
      <c r="A304" s="7" t="s">
        <v>25</v>
      </c>
      <c r="B304" s="2">
        <f>+$B$8/10000</f>
        <v>3.5923999999999998E-2</v>
      </c>
      <c r="C304" s="2">
        <v>0.97</v>
      </c>
      <c r="D304" s="2">
        <v>100</v>
      </c>
      <c r="E304" s="2">
        <v>6</v>
      </c>
      <c r="F304" s="6">
        <f t="shared" si="14"/>
        <v>9.679522222222221E-3</v>
      </c>
      <c r="G304" s="6">
        <f t="shared" ref="G304" si="15">+F304/E304</f>
        <v>1.6132537037037034E-3</v>
      </c>
    </row>
    <row r="305" spans="1:11" x14ac:dyDescent="0.3">
      <c r="A305" s="11"/>
      <c r="B305" s="11"/>
      <c r="C305" s="11"/>
      <c r="D305" s="11"/>
      <c r="E305" s="11"/>
      <c r="F305" s="12"/>
      <c r="G305" s="12"/>
    </row>
    <row r="306" spans="1:11" x14ac:dyDescent="0.3">
      <c r="F306" s="2" t="s">
        <v>43</v>
      </c>
      <c r="G306" s="6">
        <f>+F302+F303+G304</f>
        <v>6.6720551851851856E-2</v>
      </c>
    </row>
    <row r="308" spans="1:11" x14ac:dyDescent="0.3">
      <c r="A308" s="1" t="s">
        <v>33</v>
      </c>
      <c r="B308" s="1"/>
      <c r="C308" s="1"/>
    </row>
    <row r="309" spans="1:11" x14ac:dyDescent="0.3">
      <c r="A309" s="5" t="s">
        <v>34</v>
      </c>
      <c r="B309" s="14">
        <f>+G306</f>
        <v>6.6720551851851856E-2</v>
      </c>
      <c r="C309" t="s">
        <v>15</v>
      </c>
    </row>
    <row r="310" spans="1:11" x14ac:dyDescent="0.3">
      <c r="A310" s="5" t="s">
        <v>44</v>
      </c>
      <c r="B310" s="7">
        <v>1.2999999999999999E-2</v>
      </c>
    </row>
    <row r="311" spans="1:11" x14ac:dyDescent="0.3">
      <c r="A311" s="5" t="s">
        <v>35</v>
      </c>
      <c r="B311" s="7">
        <v>0</v>
      </c>
    </row>
    <row r="312" spans="1:11" x14ac:dyDescent="0.3">
      <c r="A312" s="5" t="s">
        <v>36</v>
      </c>
      <c r="B312" s="7">
        <v>0.3</v>
      </c>
      <c r="C312" t="s">
        <v>49</v>
      </c>
    </row>
    <row r="313" spans="1:11" x14ac:dyDescent="0.3">
      <c r="A313" s="5" t="s">
        <v>38</v>
      </c>
      <c r="B313" s="7">
        <v>0.01</v>
      </c>
      <c r="C313" t="s">
        <v>50</v>
      </c>
      <c r="H313" s="13"/>
    </row>
    <row r="314" spans="1:11" x14ac:dyDescent="0.3">
      <c r="A314" s="5" t="s">
        <v>48</v>
      </c>
      <c r="B314" s="7">
        <v>0.92</v>
      </c>
      <c r="C314" t="s">
        <v>49</v>
      </c>
      <c r="G314" s="13"/>
    </row>
    <row r="316" spans="1:11" x14ac:dyDescent="0.3">
      <c r="A316" s="8" t="s">
        <v>37</v>
      </c>
      <c r="B316" s="2" t="s">
        <v>38</v>
      </c>
      <c r="C316" s="5" t="s">
        <v>39</v>
      </c>
      <c r="D316" s="5" t="s">
        <v>40</v>
      </c>
      <c r="E316" s="5" t="s">
        <v>41</v>
      </c>
      <c r="F316" s="5" t="s">
        <v>34</v>
      </c>
      <c r="G316" s="17" t="s">
        <v>45</v>
      </c>
      <c r="H316" s="8" t="s">
        <v>60</v>
      </c>
      <c r="I316" s="17" t="s">
        <v>46</v>
      </c>
      <c r="J316" s="8" t="s">
        <v>101</v>
      </c>
      <c r="K316" s="8" t="s">
        <v>96</v>
      </c>
    </row>
    <row r="317" spans="1:11" x14ac:dyDescent="0.3">
      <c r="A317" s="9">
        <v>0.16069246281476671</v>
      </c>
      <c r="B317" s="4">
        <f>+B313</f>
        <v>0.01</v>
      </c>
      <c r="C317" s="2">
        <f>+A317*B312</f>
        <v>4.8207738844430012E-2</v>
      </c>
      <c r="D317" s="2">
        <f>+B312+2*A317</f>
        <v>0.6213849256295334</v>
      </c>
      <c r="E317" s="2">
        <f>C317/D317</f>
        <v>7.7581120584137284E-2</v>
      </c>
      <c r="F317" s="2">
        <f>C317*(E317^(2/3))*(B317^(1/2))/B310</f>
        <v>6.745447629398571E-2</v>
      </c>
      <c r="G317" s="31">
        <f>ROUND(A317,2)</f>
        <v>0.16</v>
      </c>
      <c r="H317" s="20">
        <f>+ROUND(G317,4)*100</f>
        <v>16</v>
      </c>
      <c r="I317" s="2">
        <f>4/5*B314</f>
        <v>0.7360000000000001</v>
      </c>
      <c r="J317" s="9">
        <f>+(B314-G317)*100</f>
        <v>76</v>
      </c>
      <c r="K317" s="20">
        <f>+B309/C317</f>
        <v>1.384021600083009</v>
      </c>
    </row>
    <row r="319" spans="1:11" x14ac:dyDescent="0.3">
      <c r="F319" s="1" t="s">
        <v>47</v>
      </c>
      <c r="G319" s="1"/>
      <c r="H319" s="1"/>
      <c r="I319" s="1" t="str">
        <f>IF(G317&lt;I317,"CUMPLE","NO CUMPLE")</f>
        <v>CUMPLE</v>
      </c>
    </row>
    <row r="320" spans="1:11" x14ac:dyDescent="0.3">
      <c r="F320" s="1" t="s">
        <v>97</v>
      </c>
      <c r="G320" s="1"/>
      <c r="I320" s="1" t="str">
        <f>+IF(K317&lt;3,"CUMPLE","Verificar Ancho")</f>
        <v>CUMPLE</v>
      </c>
    </row>
    <row r="321" spans="1:9" x14ac:dyDescent="0.3">
      <c r="F321" s="1"/>
      <c r="G321" s="1"/>
      <c r="I321" s="1"/>
    </row>
    <row r="323" spans="1:9" ht="18" x14ac:dyDescent="0.35">
      <c r="A323" s="26" t="s">
        <v>148</v>
      </c>
    </row>
    <row r="324" spans="1:9" x14ac:dyDescent="0.3">
      <c r="B324" s="2" t="s">
        <v>20</v>
      </c>
      <c r="C324" s="2" t="s">
        <v>13</v>
      </c>
      <c r="D324" s="2" t="s">
        <v>17</v>
      </c>
      <c r="E324" s="2" t="s">
        <v>22</v>
      </c>
      <c r="F324" s="2" t="s">
        <v>18</v>
      </c>
      <c r="G324" s="2" t="s">
        <v>19</v>
      </c>
    </row>
    <row r="325" spans="1:9" x14ac:dyDescent="0.3">
      <c r="A325" s="2" t="s">
        <v>86</v>
      </c>
      <c r="B325" s="2">
        <f>(116/2)/10000</f>
        <v>5.7999999999999996E-3</v>
      </c>
      <c r="C325" s="2">
        <v>0.97</v>
      </c>
      <c r="D325" s="2">
        <v>100</v>
      </c>
      <c r="E325" s="2"/>
      <c r="F325" s="6">
        <f t="shared" ref="F325:F326" si="16">+B325*C325*D325/360</f>
        <v>1.5627777777777775E-3</v>
      </c>
      <c r="G325" s="2"/>
    </row>
    <row r="326" spans="1:9" x14ac:dyDescent="0.3">
      <c r="A326" s="2" t="s">
        <v>87</v>
      </c>
      <c r="B326" s="2">
        <f>(90*0.5)/10000</f>
        <v>4.4999999999999997E-3</v>
      </c>
      <c r="C326" s="2">
        <v>0.97</v>
      </c>
      <c r="D326" s="2">
        <v>100</v>
      </c>
      <c r="E326" s="2"/>
      <c r="F326" s="6">
        <f t="shared" si="16"/>
        <v>1.2125E-3</v>
      </c>
      <c r="G326" s="6"/>
    </row>
    <row r="327" spans="1:9" x14ac:dyDescent="0.3">
      <c r="A327" s="11"/>
      <c r="B327" s="24"/>
      <c r="C327" s="24"/>
      <c r="D327" s="24"/>
      <c r="E327" s="24"/>
      <c r="F327" s="12"/>
      <c r="G327" s="11"/>
    </row>
    <row r="328" spans="1:9" x14ac:dyDescent="0.3">
      <c r="A328" s="11"/>
      <c r="B328" s="11"/>
      <c r="C328" s="11"/>
      <c r="D328" s="11"/>
      <c r="E328" s="11"/>
      <c r="F328" s="12"/>
      <c r="G328" s="12"/>
    </row>
    <row r="329" spans="1:9" x14ac:dyDescent="0.3">
      <c r="F329" s="2" t="s">
        <v>43</v>
      </c>
      <c r="G329" s="6">
        <f>+F325+F326</f>
        <v>2.7752777777777776E-3</v>
      </c>
    </row>
    <row r="331" spans="1:9" x14ac:dyDescent="0.3">
      <c r="A331" s="1" t="s">
        <v>33</v>
      </c>
      <c r="B331" s="1"/>
      <c r="C331" s="1"/>
    </row>
    <row r="332" spans="1:9" x14ac:dyDescent="0.3">
      <c r="A332" s="5" t="s">
        <v>34</v>
      </c>
      <c r="B332" s="14">
        <f>+G329</f>
        <v>2.7752777777777776E-3</v>
      </c>
      <c r="C332" t="s">
        <v>15</v>
      </c>
    </row>
    <row r="333" spans="1:9" x14ac:dyDescent="0.3">
      <c r="A333" s="5" t="s">
        <v>44</v>
      </c>
      <c r="B333" s="7">
        <v>1.2999999999999999E-2</v>
      </c>
    </row>
    <row r="334" spans="1:9" x14ac:dyDescent="0.3">
      <c r="A334" s="5" t="s">
        <v>35</v>
      </c>
      <c r="B334" s="7">
        <v>0</v>
      </c>
    </row>
    <row r="335" spans="1:9" x14ac:dyDescent="0.3">
      <c r="A335" s="5" t="s">
        <v>36</v>
      </c>
      <c r="B335" s="7">
        <v>0.2</v>
      </c>
      <c r="C335" t="s">
        <v>49</v>
      </c>
    </row>
    <row r="336" spans="1:9" x14ac:dyDescent="0.3">
      <c r="A336" s="5" t="s">
        <v>38</v>
      </c>
      <c r="B336" s="7">
        <v>0.01</v>
      </c>
      <c r="C336" t="s">
        <v>50</v>
      </c>
      <c r="H336" s="13"/>
    </row>
    <row r="337" spans="1:11" x14ac:dyDescent="0.3">
      <c r="A337" s="5" t="s">
        <v>48</v>
      </c>
      <c r="B337" s="7">
        <v>0.5</v>
      </c>
      <c r="C337" t="s">
        <v>49</v>
      </c>
      <c r="G337" s="13"/>
    </row>
    <row r="339" spans="1:11" x14ac:dyDescent="0.3">
      <c r="A339" s="8" t="s">
        <v>37</v>
      </c>
      <c r="B339" s="2" t="s">
        <v>38</v>
      </c>
      <c r="C339" s="5" t="s">
        <v>39</v>
      </c>
      <c r="D339" s="5" t="s">
        <v>40</v>
      </c>
      <c r="E339" s="5" t="s">
        <v>41</v>
      </c>
      <c r="F339" s="5" t="s">
        <v>34</v>
      </c>
      <c r="G339" s="17" t="s">
        <v>45</v>
      </c>
      <c r="H339" s="8" t="s">
        <v>60</v>
      </c>
      <c r="I339" s="17" t="s">
        <v>46</v>
      </c>
      <c r="J339" s="8" t="s">
        <v>101</v>
      </c>
      <c r="K339" s="8" t="s">
        <v>96</v>
      </c>
    </row>
    <row r="340" spans="1:11" x14ac:dyDescent="0.3">
      <c r="A340" s="9">
        <v>2.421799179125423E-2</v>
      </c>
      <c r="B340" s="4">
        <f>+B336</f>
        <v>0.01</v>
      </c>
      <c r="C340" s="2">
        <f>+A340*B335</f>
        <v>4.8435983582508467E-3</v>
      </c>
      <c r="D340" s="2">
        <f>+B335+2*A340</f>
        <v>0.24843598358250846</v>
      </c>
      <c r="E340" s="2">
        <f>C340/D340</f>
        <v>1.9496363966302135E-2</v>
      </c>
      <c r="F340" s="2">
        <f>C340*(E340^(2/3))*(B340^(1/2))/B333</f>
        <v>2.6989438759387812E-3</v>
      </c>
      <c r="G340" s="31">
        <f>ROUND(A340,2)</f>
        <v>0.02</v>
      </c>
      <c r="H340" s="20">
        <f>+ROUND(G340,4)*100</f>
        <v>2</v>
      </c>
      <c r="I340" s="2">
        <f>4/5*B337</f>
        <v>0.4</v>
      </c>
      <c r="J340" s="9">
        <f>+(B337-G340)*100</f>
        <v>48</v>
      </c>
      <c r="K340" s="20">
        <f>+B332/C340</f>
        <v>0.5729785115337277</v>
      </c>
    </row>
    <row r="342" spans="1:11" x14ac:dyDescent="0.3">
      <c r="F342" s="1" t="s">
        <v>47</v>
      </c>
      <c r="G342" s="1"/>
      <c r="H342" s="1"/>
      <c r="I342" s="1" t="str">
        <f>IF(G340&lt;I340,"CUMPLE","NO CUMPLE")</f>
        <v>CUMPLE</v>
      </c>
    </row>
    <row r="343" spans="1:11" x14ac:dyDescent="0.3">
      <c r="F343" s="1" t="s">
        <v>97</v>
      </c>
      <c r="G343" s="1"/>
      <c r="I343" s="1" t="str">
        <f>+IF(K340&lt;3,"CUMPLE","Verificar Ancho")</f>
        <v>CUMPLE</v>
      </c>
    </row>
    <row r="344" spans="1:11" x14ac:dyDescent="0.3">
      <c r="F344" s="1"/>
      <c r="G344" s="1"/>
      <c r="I344" s="1"/>
    </row>
    <row r="346" spans="1:11" ht="18" x14ac:dyDescent="0.35">
      <c r="A346" s="26" t="s">
        <v>149</v>
      </c>
    </row>
    <row r="347" spans="1:11" x14ac:dyDescent="0.3">
      <c r="B347" s="2" t="s">
        <v>20</v>
      </c>
      <c r="C347" s="2" t="s">
        <v>13</v>
      </c>
      <c r="D347" s="2" t="s">
        <v>17</v>
      </c>
      <c r="E347" s="2" t="s">
        <v>22</v>
      </c>
      <c r="F347" s="2" t="s">
        <v>18</v>
      </c>
      <c r="G347" s="2" t="s">
        <v>19</v>
      </c>
    </row>
    <row r="348" spans="1:11" x14ac:dyDescent="0.3">
      <c r="A348" s="2" t="s">
        <v>54</v>
      </c>
      <c r="B348" s="47"/>
      <c r="C348" s="48"/>
      <c r="D348" s="48"/>
      <c r="E348" s="49"/>
      <c r="F348" s="6">
        <f>+B332</f>
        <v>2.7752777777777776E-3</v>
      </c>
      <c r="G348" s="2"/>
    </row>
    <row r="349" spans="1:11" x14ac:dyDescent="0.3">
      <c r="A349" s="11"/>
      <c r="B349" s="11"/>
      <c r="C349" s="11"/>
      <c r="D349" s="11"/>
      <c r="E349" s="11"/>
      <c r="F349" s="12"/>
      <c r="G349" s="12"/>
    </row>
    <row r="350" spans="1:11" x14ac:dyDescent="0.3">
      <c r="F350" s="2" t="s">
        <v>43</v>
      </c>
      <c r="G350" s="6">
        <f>+F348</f>
        <v>2.7752777777777776E-3</v>
      </c>
    </row>
    <row r="351" spans="1:11" x14ac:dyDescent="0.3">
      <c r="A351" s="1" t="s">
        <v>71</v>
      </c>
      <c r="B351" s="1"/>
      <c r="C351" s="1"/>
    </row>
    <row r="352" spans="1:11" x14ac:dyDescent="0.3">
      <c r="A352" s="5" t="s">
        <v>66</v>
      </c>
      <c r="B352" s="14">
        <f>+G350</f>
        <v>2.7752777777777776E-3</v>
      </c>
      <c r="C352" t="s">
        <v>15</v>
      </c>
    </row>
    <row r="353" spans="1:7" x14ac:dyDescent="0.3">
      <c r="A353" s="5" t="s">
        <v>56</v>
      </c>
      <c r="B353" s="7">
        <v>0.01</v>
      </c>
      <c r="D353" s="1"/>
      <c r="E353" s="1"/>
    </row>
    <row r="354" spans="1:7" ht="18" x14ac:dyDescent="0.35">
      <c r="A354" s="21" t="s">
        <v>68</v>
      </c>
      <c r="B354" s="15">
        <f>300*PI()/180</f>
        <v>5.2359877559829888</v>
      </c>
      <c r="C354" t="s">
        <v>58</v>
      </c>
    </row>
    <row r="355" spans="1:7" x14ac:dyDescent="0.3">
      <c r="A355" s="5" t="s">
        <v>38</v>
      </c>
      <c r="B355" s="7">
        <v>2.98E-2</v>
      </c>
      <c r="C355" t="s">
        <v>50</v>
      </c>
    </row>
    <row r="356" spans="1:7" x14ac:dyDescent="0.3">
      <c r="A356" s="23" t="s">
        <v>57</v>
      </c>
      <c r="B356" s="22">
        <v>4</v>
      </c>
      <c r="C356" t="s">
        <v>65</v>
      </c>
      <c r="G356" s="13"/>
    </row>
    <row r="358" spans="1:7" x14ac:dyDescent="0.3">
      <c r="A358" s="8" t="s">
        <v>57</v>
      </c>
      <c r="B358" s="2" t="s">
        <v>38</v>
      </c>
      <c r="C358" s="5" t="s">
        <v>39</v>
      </c>
      <c r="D358" s="5" t="s">
        <v>40</v>
      </c>
      <c r="E358" s="5" t="s">
        <v>41</v>
      </c>
      <c r="F358" s="8" t="s">
        <v>99</v>
      </c>
      <c r="G358" s="8" t="s">
        <v>96</v>
      </c>
    </row>
    <row r="359" spans="1:7" x14ac:dyDescent="0.3">
      <c r="A359" s="9">
        <f>+B356*0.0254</f>
        <v>0.1016</v>
      </c>
      <c r="B359" s="2">
        <f>+B355</f>
        <v>2.98E-2</v>
      </c>
      <c r="C359" s="4">
        <f>+((B354-SIN(B354))*(A359)^2)/8</f>
        <v>7.8735496203111068E-3</v>
      </c>
      <c r="D359" s="2">
        <f>+B354*A359/2</f>
        <v>0.26598817800393582</v>
      </c>
      <c r="E359" s="2">
        <f>(1-SIN(B354)/B354)*(A359)/4</f>
        <v>2.9601126183114054E-2</v>
      </c>
      <c r="F359" s="9">
        <f>C359*(E359^(2/3))*(B359^(1/2))/B353</f>
        <v>1.3006212848276084E-2</v>
      </c>
      <c r="G359" s="20">
        <f>+B352/C359</f>
        <v>0.35248114403426067</v>
      </c>
    </row>
    <row r="361" spans="1:7" x14ac:dyDescent="0.3">
      <c r="C361" s="1" t="s">
        <v>100</v>
      </c>
      <c r="D361" s="1"/>
      <c r="F361" s="1" t="str">
        <f>+IF(B352&lt;F359,"CUMPLE","NO CUMPLE")</f>
        <v>CUMPLE</v>
      </c>
      <c r="G361" s="1"/>
    </row>
    <row r="362" spans="1:7" x14ac:dyDescent="0.3">
      <c r="C362" s="1" t="s">
        <v>98</v>
      </c>
      <c r="D362" s="1"/>
      <c r="F362" s="1" t="str">
        <f>+IF(G359&lt;5,"CUMPLE","Verificar Diametro")</f>
        <v>CUMPLE</v>
      </c>
    </row>
    <row r="363" spans="1:7" x14ac:dyDescent="0.3">
      <c r="C363" s="1" t="s">
        <v>69</v>
      </c>
      <c r="D363" s="1"/>
    </row>
    <row r="364" spans="1:7" x14ac:dyDescent="0.3">
      <c r="D364" s="27" t="s">
        <v>59</v>
      </c>
      <c r="E364" s="27">
        <f>IF(B352&lt;F359,A359/0.0254,"Modificar Diametro")</f>
        <v>4</v>
      </c>
      <c r="F364" s="27" t="s">
        <v>65</v>
      </c>
    </row>
    <row r="367" spans="1:7" ht="18" x14ac:dyDescent="0.35">
      <c r="A367" s="37" t="s">
        <v>150</v>
      </c>
      <c r="B367" s="28"/>
      <c r="C367" s="28"/>
      <c r="D367" s="28"/>
    </row>
    <row r="368" spans="1:7" x14ac:dyDescent="0.3">
      <c r="B368" s="2" t="s">
        <v>20</v>
      </c>
      <c r="C368" s="2" t="s">
        <v>13</v>
      </c>
      <c r="D368" s="2" t="s">
        <v>17</v>
      </c>
      <c r="E368" s="2" t="s">
        <v>22</v>
      </c>
      <c r="F368" s="2" t="s">
        <v>18</v>
      </c>
      <c r="G368" s="2" t="s">
        <v>19</v>
      </c>
    </row>
    <row r="369" spans="1:7" x14ac:dyDescent="0.3">
      <c r="A369" s="2" t="s">
        <v>54</v>
      </c>
      <c r="B369" s="47"/>
      <c r="C369" s="48"/>
      <c r="D369" s="48"/>
      <c r="E369" s="49"/>
      <c r="F369" s="6">
        <f>+B352</f>
        <v>2.7752777777777776E-3</v>
      </c>
      <c r="G369" s="2"/>
    </row>
    <row r="370" spans="1:7" x14ac:dyDescent="0.3">
      <c r="A370" s="7" t="s">
        <v>12</v>
      </c>
      <c r="B370" s="2">
        <f>+$B$5/10000</f>
        <v>7.6269999999999992E-3</v>
      </c>
      <c r="C370" s="2">
        <v>0.97</v>
      </c>
      <c r="D370" s="2">
        <v>100</v>
      </c>
      <c r="E370" s="2"/>
      <c r="F370" s="6">
        <f>+B370*C370*D370/360</f>
        <v>2.0550527777777774E-3</v>
      </c>
      <c r="G370" s="6"/>
    </row>
    <row r="371" spans="1:7" x14ac:dyDescent="0.3">
      <c r="A371" s="7" t="s">
        <v>32</v>
      </c>
      <c r="B371" s="2">
        <f>+$B$15/10000</f>
        <v>1.4775E-2</v>
      </c>
      <c r="C371" s="2">
        <v>0.97</v>
      </c>
      <c r="D371" s="2">
        <v>100</v>
      </c>
      <c r="E371" s="2"/>
      <c r="F371" s="6">
        <f t="shared" ref="F371:F372" si="17">+B371*C371*D371/360</f>
        <v>3.9810416666666666E-3</v>
      </c>
      <c r="G371" s="6"/>
    </row>
    <row r="372" spans="1:7" x14ac:dyDescent="0.3">
      <c r="A372" s="2" t="s">
        <v>130</v>
      </c>
      <c r="B372" s="2">
        <f>26/10000</f>
        <v>2.5999999999999999E-3</v>
      </c>
      <c r="C372" s="2">
        <v>0.97</v>
      </c>
      <c r="D372" s="2">
        <v>100</v>
      </c>
      <c r="E372" s="2"/>
      <c r="F372" s="6">
        <f t="shared" si="17"/>
        <v>7.005555555555555E-4</v>
      </c>
      <c r="G372" s="6"/>
    </row>
    <row r="373" spans="1:7" x14ac:dyDescent="0.3">
      <c r="A373" s="11"/>
      <c r="B373" s="11"/>
      <c r="C373" s="11"/>
      <c r="D373" s="11"/>
      <c r="E373" s="11"/>
      <c r="F373" s="12"/>
      <c r="G373" s="12"/>
    </row>
    <row r="374" spans="1:7" x14ac:dyDescent="0.3">
      <c r="F374" s="2" t="s">
        <v>43</v>
      </c>
      <c r="G374" s="6">
        <f>+F369+F370+F371+F372</f>
        <v>9.5119277777777761E-3</v>
      </c>
    </row>
    <row r="375" spans="1:7" x14ac:dyDescent="0.3">
      <c r="F375" s="11"/>
      <c r="G375" s="12"/>
    </row>
    <row r="376" spans="1:7" x14ac:dyDescent="0.3">
      <c r="A376" s="5" t="s">
        <v>66</v>
      </c>
      <c r="B376" s="14">
        <f>+G374</f>
        <v>9.5119277777777761E-3</v>
      </c>
      <c r="C376" t="s">
        <v>15</v>
      </c>
    </row>
    <row r="377" spans="1:7" x14ac:dyDescent="0.3">
      <c r="A377" s="5" t="s">
        <v>56</v>
      </c>
      <c r="B377" s="7">
        <v>0.01</v>
      </c>
      <c r="D377" s="1"/>
      <c r="E377" s="1"/>
    </row>
    <row r="378" spans="1:7" ht="18" x14ac:dyDescent="0.35">
      <c r="A378" s="21" t="s">
        <v>68</v>
      </c>
      <c r="B378" s="15">
        <f>300*PI()/180</f>
        <v>5.2359877559829888</v>
      </c>
      <c r="C378" t="s">
        <v>58</v>
      </c>
    </row>
    <row r="379" spans="1:7" x14ac:dyDescent="0.3">
      <c r="A379" s="5" t="s">
        <v>38</v>
      </c>
      <c r="B379" s="7">
        <v>2.3199999999999998E-2</v>
      </c>
      <c r="C379" t="s">
        <v>50</v>
      </c>
    </row>
    <row r="380" spans="1:7" x14ac:dyDescent="0.3">
      <c r="A380" s="23" t="s">
        <v>57</v>
      </c>
      <c r="B380" s="22">
        <v>4</v>
      </c>
      <c r="C380" t="s">
        <v>65</v>
      </c>
      <c r="G380" s="13"/>
    </row>
    <row r="382" spans="1:7" x14ac:dyDescent="0.3">
      <c r="A382" s="8" t="s">
        <v>57</v>
      </c>
      <c r="B382" s="2" t="s">
        <v>38</v>
      </c>
      <c r="C382" s="5" t="s">
        <v>39</v>
      </c>
      <c r="D382" s="5" t="s">
        <v>40</v>
      </c>
      <c r="E382" s="5" t="s">
        <v>41</v>
      </c>
      <c r="F382" s="8" t="s">
        <v>99</v>
      </c>
      <c r="G382" s="8" t="s">
        <v>96</v>
      </c>
    </row>
    <row r="383" spans="1:7" x14ac:dyDescent="0.3">
      <c r="A383" s="9">
        <f>+B380*0.0254</f>
        <v>0.1016</v>
      </c>
      <c r="B383" s="2">
        <f>+B379</f>
        <v>2.3199999999999998E-2</v>
      </c>
      <c r="C383" s="4">
        <f>+((B378-SIN(B378))*(A383)^2)/8</f>
        <v>7.8735496203111068E-3</v>
      </c>
      <c r="D383" s="2">
        <f>+B378*A383/2</f>
        <v>0.26598817800393582</v>
      </c>
      <c r="E383" s="2">
        <f>(1-SIN(B378)/B378)*(A383)/4</f>
        <v>2.9601126183114054E-2</v>
      </c>
      <c r="F383" s="9">
        <f>C383*(E383^(2/3))*(B383^(1/2))/B377</f>
        <v>1.1475899002067021E-2</v>
      </c>
      <c r="G383" s="20">
        <f>+B376/C383</f>
        <v>1.20808634433956</v>
      </c>
    </row>
    <row r="385" spans="1:7" x14ac:dyDescent="0.3">
      <c r="C385" s="1" t="s">
        <v>100</v>
      </c>
      <c r="D385" s="1"/>
      <c r="F385" s="1" t="str">
        <f>+IF(B376&lt;F383,"CUMPLE","NO CUMPLE")</f>
        <v>CUMPLE</v>
      </c>
      <c r="G385" s="1"/>
    </row>
    <row r="386" spans="1:7" x14ac:dyDescent="0.3">
      <c r="C386" s="1" t="s">
        <v>98</v>
      </c>
      <c r="D386" s="1"/>
      <c r="F386" s="1" t="str">
        <f>+IF(G383&lt;5,"CUMPLE","Verificar Diametro")</f>
        <v>CUMPLE</v>
      </c>
    </row>
    <row r="387" spans="1:7" x14ac:dyDescent="0.3">
      <c r="C387" s="1" t="s">
        <v>69</v>
      </c>
      <c r="D387" s="1"/>
    </row>
    <row r="388" spans="1:7" x14ac:dyDescent="0.3">
      <c r="D388" s="27" t="s">
        <v>59</v>
      </c>
      <c r="E388" s="27">
        <f>IF(B376&lt;F383,A383/0.0254,"Modificar Diametro")</f>
        <v>4</v>
      </c>
      <c r="F388" s="27" t="s">
        <v>65</v>
      </c>
    </row>
    <row r="391" spans="1:7" ht="18" x14ac:dyDescent="0.35">
      <c r="A391" s="37" t="s">
        <v>115</v>
      </c>
      <c r="B391" s="28"/>
      <c r="C391" s="28"/>
      <c r="D391" s="28"/>
    </row>
    <row r="392" spans="1:7" x14ac:dyDescent="0.3">
      <c r="B392" s="2" t="s">
        <v>20</v>
      </c>
      <c r="C392" s="2" t="s">
        <v>13</v>
      </c>
      <c r="D392" s="2" t="s">
        <v>17</v>
      </c>
      <c r="E392" s="2" t="s">
        <v>22</v>
      </c>
      <c r="F392" s="2" t="s">
        <v>18</v>
      </c>
      <c r="G392" s="2" t="s">
        <v>19</v>
      </c>
    </row>
    <row r="393" spans="1:7" x14ac:dyDescent="0.3">
      <c r="A393" s="2" t="s">
        <v>54</v>
      </c>
      <c r="B393" s="47"/>
      <c r="C393" s="48"/>
      <c r="D393" s="48"/>
      <c r="E393" s="49"/>
      <c r="F393" s="6">
        <f>+B309+B376</f>
        <v>7.6232479629629632E-2</v>
      </c>
      <c r="G393" s="2"/>
    </row>
    <row r="394" spans="1:7" x14ac:dyDescent="0.3">
      <c r="A394" s="2" t="s">
        <v>132</v>
      </c>
      <c r="B394" s="2">
        <f>(66+22)/10000</f>
        <v>8.8000000000000005E-3</v>
      </c>
      <c r="C394" s="2">
        <v>0.97</v>
      </c>
      <c r="D394" s="2">
        <v>100</v>
      </c>
      <c r="E394" s="2"/>
      <c r="F394" s="6">
        <f t="shared" ref="F394" si="18">+B394*C394*D394/360</f>
        <v>2.3711111111111112E-3</v>
      </c>
      <c r="G394" s="6"/>
    </row>
    <row r="395" spans="1:7" x14ac:dyDescent="0.3">
      <c r="A395" s="11"/>
      <c r="B395" s="11"/>
      <c r="C395" s="11"/>
      <c r="D395" s="11"/>
      <c r="E395" s="11"/>
      <c r="F395" s="12"/>
      <c r="G395" s="12"/>
    </row>
    <row r="396" spans="1:7" x14ac:dyDescent="0.3">
      <c r="F396" s="2" t="s">
        <v>43</v>
      </c>
      <c r="G396" s="6">
        <f>+F393+F394</f>
        <v>7.8603590740740747E-2</v>
      </c>
    </row>
    <row r="397" spans="1:7" x14ac:dyDescent="0.3">
      <c r="A397" s="1" t="s">
        <v>71</v>
      </c>
      <c r="B397" s="1"/>
      <c r="C397" s="1"/>
    </row>
    <row r="398" spans="1:7" x14ac:dyDescent="0.3">
      <c r="A398" s="5" t="s">
        <v>66</v>
      </c>
      <c r="B398" s="14">
        <f>+G396</f>
        <v>7.8603590740740747E-2</v>
      </c>
      <c r="C398" t="s">
        <v>15</v>
      </c>
    </row>
    <row r="399" spans="1:7" x14ac:dyDescent="0.3">
      <c r="A399" s="5" t="s">
        <v>56</v>
      </c>
      <c r="B399" s="7">
        <v>0.01</v>
      </c>
      <c r="D399" s="1"/>
      <c r="E399" s="1"/>
    </row>
    <row r="400" spans="1:7" ht="18" x14ac:dyDescent="0.35">
      <c r="A400" s="21" t="s">
        <v>68</v>
      </c>
      <c r="B400" s="15">
        <f>180*PI()/180</f>
        <v>3.1415926535897931</v>
      </c>
      <c r="C400" t="s">
        <v>58</v>
      </c>
    </row>
    <row r="401" spans="1:7" x14ac:dyDescent="0.3">
      <c r="A401" s="5" t="s">
        <v>38</v>
      </c>
      <c r="B401" s="7">
        <v>0.01</v>
      </c>
      <c r="C401" t="s">
        <v>50</v>
      </c>
    </row>
    <row r="402" spans="1:7" x14ac:dyDescent="0.3">
      <c r="A402" s="23" t="s">
        <v>57</v>
      </c>
      <c r="B402" s="22">
        <v>14</v>
      </c>
      <c r="C402" t="s">
        <v>65</v>
      </c>
      <c r="G402" s="13"/>
    </row>
    <row r="404" spans="1:7" x14ac:dyDescent="0.3">
      <c r="A404" s="8" t="s">
        <v>57</v>
      </c>
      <c r="B404" s="2" t="s">
        <v>38</v>
      </c>
      <c r="C404" s="5" t="s">
        <v>39</v>
      </c>
      <c r="D404" s="5" t="s">
        <v>40</v>
      </c>
      <c r="E404" s="5" t="s">
        <v>41</v>
      </c>
      <c r="F404" s="8" t="s">
        <v>99</v>
      </c>
      <c r="G404" s="8" t="s">
        <v>96</v>
      </c>
    </row>
    <row r="405" spans="1:7" x14ac:dyDescent="0.3">
      <c r="A405" s="9">
        <f>+B402*0.0254</f>
        <v>0.35559999999999997</v>
      </c>
      <c r="B405" s="2">
        <f>+B401</f>
        <v>0.01</v>
      </c>
      <c r="C405" s="4">
        <f>+((B400-SIN(B400))*(A405)^2)/8</f>
        <v>4.9657332951554771E-2</v>
      </c>
      <c r="D405" s="2">
        <f>+B400*A405/2</f>
        <v>0.55857517380826516</v>
      </c>
      <c r="E405" s="2">
        <f>(1-SIN(B400)/B400)*(A405)/4</f>
        <v>8.8899999999999993E-2</v>
      </c>
      <c r="F405" s="9">
        <f>C405*(E405^(2/3))*(B405^(1/2))/B399</f>
        <v>9.8912511891011676E-2</v>
      </c>
      <c r="G405" s="20">
        <f>+B398/C405</f>
        <v>1.5829201060279592</v>
      </c>
    </row>
    <row r="407" spans="1:7" x14ac:dyDescent="0.3">
      <c r="C407" s="1" t="s">
        <v>100</v>
      </c>
      <c r="D407" s="1"/>
      <c r="F407" s="1" t="str">
        <f>+IF(B398&lt;F405,"CUMPLE","NO CUMPLE")</f>
        <v>CUMPLE</v>
      </c>
      <c r="G407" s="1"/>
    </row>
    <row r="408" spans="1:7" x14ac:dyDescent="0.3">
      <c r="C408" s="1" t="s">
        <v>98</v>
      </c>
      <c r="D408" s="1"/>
      <c r="F408" s="1" t="str">
        <f>+IF(G405&lt;5,"CUMPLE","Verificar Diametro")</f>
        <v>CUMPLE</v>
      </c>
    </row>
    <row r="409" spans="1:7" x14ac:dyDescent="0.3">
      <c r="C409" s="1" t="s">
        <v>69</v>
      </c>
      <c r="D409" s="1"/>
    </row>
    <row r="410" spans="1:7" x14ac:dyDescent="0.3">
      <c r="D410" s="27" t="s">
        <v>59</v>
      </c>
      <c r="E410" s="27">
        <f>IF(B398&lt;F405,A405/0.0254,"Modificar Diametro")</f>
        <v>14</v>
      </c>
      <c r="F410" s="27" t="s">
        <v>65</v>
      </c>
    </row>
    <row r="413" spans="1:7" ht="18" x14ac:dyDescent="0.35">
      <c r="A413" s="26" t="s">
        <v>151</v>
      </c>
      <c r="B413" s="28"/>
      <c r="C413" s="28"/>
      <c r="D413" s="28"/>
    </row>
    <row r="414" spans="1:7" x14ac:dyDescent="0.3">
      <c r="B414" s="2" t="s">
        <v>20</v>
      </c>
      <c r="C414" s="2" t="s">
        <v>13</v>
      </c>
      <c r="D414" s="2" t="s">
        <v>17</v>
      </c>
      <c r="E414" s="2" t="s">
        <v>22</v>
      </c>
      <c r="F414" s="2" t="s">
        <v>18</v>
      </c>
      <c r="G414" s="2" t="s">
        <v>19</v>
      </c>
    </row>
    <row r="415" spans="1:7" x14ac:dyDescent="0.3">
      <c r="A415" s="2" t="s">
        <v>131</v>
      </c>
      <c r="B415" s="2">
        <f>20/10000</f>
        <v>2E-3</v>
      </c>
      <c r="C415" s="2">
        <v>0.97</v>
      </c>
      <c r="D415" s="2">
        <v>100</v>
      </c>
      <c r="E415" s="2"/>
      <c r="F415" s="6">
        <f t="shared" ref="F415:F416" si="19">+B415*C415*D415/360</f>
        <v>5.3888888888888888E-4</v>
      </c>
      <c r="G415" s="6"/>
    </row>
    <row r="416" spans="1:7" x14ac:dyDescent="0.3">
      <c r="A416" s="7" t="s">
        <v>23</v>
      </c>
      <c r="B416" s="2">
        <f>+$B$7/10000</f>
        <v>4.7840000000000001E-3</v>
      </c>
      <c r="C416" s="2">
        <v>0.97</v>
      </c>
      <c r="D416" s="2">
        <v>100</v>
      </c>
      <c r="E416" s="2">
        <v>7</v>
      </c>
      <c r="F416" s="6">
        <f t="shared" si="19"/>
        <v>1.2890222222222221E-3</v>
      </c>
      <c r="G416" s="6">
        <f>+F416/E416</f>
        <v>1.8414603174603172E-4</v>
      </c>
    </row>
    <row r="417" spans="1:8" x14ac:dyDescent="0.3">
      <c r="A417" s="11"/>
      <c r="B417" s="11"/>
      <c r="C417" s="11"/>
      <c r="D417" s="11"/>
      <c r="E417" s="11"/>
      <c r="F417" s="12"/>
      <c r="G417" s="12"/>
    </row>
    <row r="418" spans="1:8" s="34" customFormat="1" x14ac:dyDescent="0.3">
      <c r="F418" s="4" t="s">
        <v>43</v>
      </c>
      <c r="G418" s="43">
        <f>+F415+G416*2</f>
        <v>9.0718095238095237E-4</v>
      </c>
    </row>
    <row r="419" spans="1:8" x14ac:dyDescent="0.3">
      <c r="A419" s="1" t="s">
        <v>71</v>
      </c>
      <c r="B419" s="1"/>
      <c r="C419" s="1"/>
    </row>
    <row r="420" spans="1:8" x14ac:dyDescent="0.3">
      <c r="A420" s="5" t="s">
        <v>66</v>
      </c>
      <c r="B420" s="14">
        <f>+G418</f>
        <v>9.0718095238095237E-4</v>
      </c>
      <c r="C420" t="s">
        <v>15</v>
      </c>
    </row>
    <row r="421" spans="1:8" x14ac:dyDescent="0.3">
      <c r="A421" s="5" t="s">
        <v>56</v>
      </c>
      <c r="B421" s="7">
        <v>0.01</v>
      </c>
      <c r="D421" s="1"/>
      <c r="E421" s="1"/>
    </row>
    <row r="422" spans="1:8" ht="18" x14ac:dyDescent="0.35">
      <c r="A422" s="21" t="s">
        <v>68</v>
      </c>
      <c r="B422" s="15">
        <f>300*PI()/180</f>
        <v>5.2359877559829888</v>
      </c>
      <c r="C422" t="s">
        <v>58</v>
      </c>
    </row>
    <row r="423" spans="1:8" x14ac:dyDescent="0.3">
      <c r="A423" s="5" t="s">
        <v>38</v>
      </c>
      <c r="B423" s="7">
        <v>5.0000000000000001E-3</v>
      </c>
      <c r="C423" t="s">
        <v>50</v>
      </c>
    </row>
    <row r="424" spans="1:8" x14ac:dyDescent="0.3">
      <c r="A424" s="23" t="s">
        <v>57</v>
      </c>
      <c r="B424" s="22">
        <v>4</v>
      </c>
      <c r="C424" t="s">
        <v>65</v>
      </c>
      <c r="G424" s="13"/>
    </row>
    <row r="426" spans="1:8" x14ac:dyDescent="0.3">
      <c r="A426" s="8" t="s">
        <v>57</v>
      </c>
      <c r="B426" s="2" t="s">
        <v>38</v>
      </c>
      <c r="C426" s="5" t="s">
        <v>39</v>
      </c>
      <c r="D426" s="5" t="s">
        <v>40</v>
      </c>
      <c r="E426" s="5" t="s">
        <v>41</v>
      </c>
      <c r="F426" s="8" t="s">
        <v>99</v>
      </c>
      <c r="G426" s="8" t="s">
        <v>96</v>
      </c>
    </row>
    <row r="427" spans="1:8" x14ac:dyDescent="0.3">
      <c r="A427" s="9">
        <f>+B424*0.0254</f>
        <v>0.1016</v>
      </c>
      <c r="B427" s="2">
        <f>+B423</f>
        <v>5.0000000000000001E-3</v>
      </c>
      <c r="C427" s="4">
        <f>+((B422-SIN(B422))*(A427)^2)/8</f>
        <v>7.8735496203111068E-3</v>
      </c>
      <c r="D427" s="2">
        <f>+B422*A427/2</f>
        <v>0.26598817800393582</v>
      </c>
      <c r="E427" s="2">
        <f>(1-SIN(B422)/B422)*(A427)/4</f>
        <v>2.9601126183114054E-2</v>
      </c>
      <c r="F427" s="9">
        <f>C427*(E427^(2/3))*(B427^(1/2))/B421</f>
        <v>5.327552365186318E-3</v>
      </c>
      <c r="G427" s="20">
        <f>+B420/C427</f>
        <v>0.11521880170040855</v>
      </c>
    </row>
    <row r="429" spans="1:8" x14ac:dyDescent="0.3">
      <c r="C429" s="1" t="s">
        <v>100</v>
      </c>
      <c r="D429" s="1"/>
      <c r="F429" s="1" t="str">
        <f>+IF(B420&lt;F427,"CUMPLE","NO CUMPLE")</f>
        <v>CUMPLE</v>
      </c>
      <c r="G429" s="1"/>
    </row>
    <row r="430" spans="1:8" x14ac:dyDescent="0.3">
      <c r="C430" s="1" t="s">
        <v>98</v>
      </c>
      <c r="D430" s="1"/>
      <c r="F430" s="1" t="str">
        <f>+IF(G427&lt;5,"CUMPLE","Verificar Diametro")</f>
        <v>CUMPLE</v>
      </c>
    </row>
    <row r="431" spans="1:8" x14ac:dyDescent="0.3">
      <c r="C431" s="1" t="s">
        <v>69</v>
      </c>
      <c r="D431" s="1"/>
      <c r="H431" s="34"/>
    </row>
    <row r="432" spans="1:8" x14ac:dyDescent="0.3">
      <c r="D432" s="27" t="s">
        <v>59</v>
      </c>
      <c r="E432" s="27">
        <f>IF(B420&lt;F427,A427/0.0254,"Modificar Diametro")</f>
        <v>4</v>
      </c>
      <c r="F432" s="27" t="s">
        <v>65</v>
      </c>
    </row>
    <row r="434" spans="1:8" s="34" customFormat="1" x14ac:dyDescent="0.3"/>
    <row r="435" spans="1:8" ht="18" x14ac:dyDescent="0.35">
      <c r="A435" s="26" t="s">
        <v>152</v>
      </c>
      <c r="B435" s="28"/>
    </row>
    <row r="436" spans="1:8" x14ac:dyDescent="0.3">
      <c r="B436" s="2" t="s">
        <v>20</v>
      </c>
      <c r="C436" s="2" t="s">
        <v>13</v>
      </c>
      <c r="D436" s="2" t="s">
        <v>17</v>
      </c>
      <c r="E436" s="2" t="s">
        <v>22</v>
      </c>
      <c r="F436" s="2" t="s">
        <v>18</v>
      </c>
      <c r="G436" s="2" t="s">
        <v>19</v>
      </c>
    </row>
    <row r="437" spans="1:8" x14ac:dyDescent="0.3">
      <c r="A437" s="2" t="s">
        <v>54</v>
      </c>
      <c r="B437" s="47"/>
      <c r="C437" s="48"/>
      <c r="D437" s="48"/>
      <c r="E437" s="49"/>
      <c r="F437" s="6">
        <f>+B420</f>
        <v>9.0718095238095237E-4</v>
      </c>
      <c r="G437" s="2"/>
    </row>
    <row r="438" spans="1:8" x14ac:dyDescent="0.3">
      <c r="A438" s="7" t="s">
        <v>23</v>
      </c>
      <c r="B438" s="2">
        <f>+$B$6/10000</f>
        <v>3.3408E-2</v>
      </c>
      <c r="C438" s="2">
        <v>0.97</v>
      </c>
      <c r="D438" s="2">
        <v>100</v>
      </c>
      <c r="E438" s="2">
        <v>7</v>
      </c>
      <c r="F438" s="6">
        <f t="shared" ref="F438:F439" si="20">+B438*C438*D438/360</f>
        <v>9.0016000000000002E-3</v>
      </c>
      <c r="G438" s="6">
        <f>+F438/E438</f>
        <v>1.2859428571428571E-3</v>
      </c>
    </row>
    <row r="439" spans="1:8" x14ac:dyDescent="0.3">
      <c r="A439" s="2" t="s">
        <v>88</v>
      </c>
      <c r="B439" s="2">
        <f>(48+110)/10000</f>
        <v>1.5800000000000002E-2</v>
      </c>
      <c r="C439" s="2">
        <v>0.97</v>
      </c>
      <c r="D439" s="2">
        <v>100</v>
      </c>
      <c r="E439" s="2"/>
      <c r="F439" s="6">
        <f t="shared" si="20"/>
        <v>4.257222222222223E-3</v>
      </c>
      <c r="G439" s="2"/>
    </row>
    <row r="440" spans="1:8" x14ac:dyDescent="0.3">
      <c r="A440" s="11"/>
      <c r="B440" s="11"/>
      <c r="C440" s="11"/>
      <c r="D440" s="11"/>
      <c r="E440" s="11"/>
      <c r="F440" s="12"/>
      <c r="G440" s="12"/>
    </row>
    <row r="441" spans="1:8" ht="17.25" customHeight="1" x14ac:dyDescent="0.3">
      <c r="F441" s="2" t="s">
        <v>43</v>
      </c>
      <c r="G441" s="6">
        <f>+F437+G438*5+F439</f>
        <v>1.1594117460317461E-2</v>
      </c>
    </row>
    <row r="442" spans="1:8" ht="17.25" customHeight="1" x14ac:dyDescent="0.3">
      <c r="F442" s="11"/>
      <c r="G442" s="12"/>
    </row>
    <row r="443" spans="1:8" x14ac:dyDescent="0.3">
      <c r="A443" s="1" t="s">
        <v>33</v>
      </c>
      <c r="B443" s="1"/>
      <c r="C443" s="1"/>
    </row>
    <row r="444" spans="1:8" x14ac:dyDescent="0.3">
      <c r="A444" s="5" t="s">
        <v>34</v>
      </c>
      <c r="B444" s="14">
        <f>+G441</f>
        <v>1.1594117460317461E-2</v>
      </c>
      <c r="C444" t="s">
        <v>15</v>
      </c>
    </row>
    <row r="445" spans="1:8" x14ac:dyDescent="0.3">
      <c r="A445" s="5" t="s">
        <v>44</v>
      </c>
      <c r="B445" s="7">
        <v>1.2999999999999999E-2</v>
      </c>
    </row>
    <row r="446" spans="1:8" x14ac:dyDescent="0.3">
      <c r="A446" s="5" t="s">
        <v>35</v>
      </c>
      <c r="B446" s="7">
        <v>0</v>
      </c>
    </row>
    <row r="447" spans="1:8" x14ac:dyDescent="0.3">
      <c r="A447" s="5" t="s">
        <v>36</v>
      </c>
      <c r="B447" s="7">
        <v>0.2</v>
      </c>
      <c r="C447" t="s">
        <v>49</v>
      </c>
    </row>
    <row r="448" spans="1:8" x14ac:dyDescent="0.3">
      <c r="A448" s="5" t="s">
        <v>38</v>
      </c>
      <c r="B448" s="7">
        <v>0.01</v>
      </c>
      <c r="C448" t="s">
        <v>50</v>
      </c>
      <c r="H448" s="13"/>
    </row>
    <row r="449" spans="1:11" x14ac:dyDescent="0.3">
      <c r="A449" s="5" t="s">
        <v>48</v>
      </c>
      <c r="B449" s="7">
        <v>0.68</v>
      </c>
      <c r="C449" t="s">
        <v>49</v>
      </c>
      <c r="G449" s="13"/>
    </row>
    <row r="451" spans="1:11" x14ac:dyDescent="0.3">
      <c r="A451" s="8" t="s">
        <v>37</v>
      </c>
      <c r="B451" s="2" t="s">
        <v>38</v>
      </c>
      <c r="C451" s="5" t="s">
        <v>39</v>
      </c>
      <c r="D451" s="5" t="s">
        <v>40</v>
      </c>
      <c r="E451" s="5" t="s">
        <v>41</v>
      </c>
      <c r="F451" s="5" t="s">
        <v>34</v>
      </c>
      <c r="G451" s="17" t="s">
        <v>45</v>
      </c>
      <c r="H451" s="8" t="s">
        <v>60</v>
      </c>
      <c r="I451" s="17" t="s">
        <v>46</v>
      </c>
      <c r="J451" s="8" t="s">
        <v>101</v>
      </c>
      <c r="K451" s="8" t="s">
        <v>96</v>
      </c>
    </row>
    <row r="452" spans="1:11" x14ac:dyDescent="0.3">
      <c r="A452" s="9">
        <v>6.5338636748604018E-2</v>
      </c>
      <c r="B452" s="4">
        <f>+B448</f>
        <v>0.01</v>
      </c>
      <c r="C452" s="2">
        <f>+A452*B447</f>
        <v>1.3067727349720804E-2</v>
      </c>
      <c r="D452" s="2">
        <f>+B447+2*A452</f>
        <v>0.33067727349720805</v>
      </c>
      <c r="E452" s="2">
        <f>C452/D452</f>
        <v>3.9518069117716784E-2</v>
      </c>
      <c r="F452" s="2">
        <f>C452*(E452^(2/3))*(B452^(1/2))/B445</f>
        <v>1.1662380049566828E-2</v>
      </c>
      <c r="G452" s="31">
        <f>ROUND(A452,2)</f>
        <v>7.0000000000000007E-2</v>
      </c>
      <c r="H452" s="20">
        <f>+ROUND(G452,4)*100</f>
        <v>7.0000000000000009</v>
      </c>
      <c r="I452" s="2">
        <f>4/5*B449</f>
        <v>0.54400000000000004</v>
      </c>
      <c r="J452" s="9">
        <f>+(B449-G452)*100</f>
        <v>61.000000000000007</v>
      </c>
      <c r="K452" s="20">
        <f>+B444/C452</f>
        <v>0.88723288679306367</v>
      </c>
    </row>
    <row r="454" spans="1:11" x14ac:dyDescent="0.3">
      <c r="F454" s="1" t="s">
        <v>47</v>
      </c>
      <c r="G454" s="1"/>
      <c r="H454" s="1"/>
      <c r="I454" s="1" t="str">
        <f>IF(G452&lt;I452,"CUMPLE","NO CUMPLE")</f>
        <v>CUMPLE</v>
      </c>
    </row>
    <row r="455" spans="1:11" x14ac:dyDescent="0.3">
      <c r="F455" s="1" t="s">
        <v>97</v>
      </c>
      <c r="G455" s="1"/>
      <c r="I455" s="1" t="str">
        <f>+IF(K452&lt;3,"CUMPLE","Verificar Ancho")</f>
        <v>CUMPLE</v>
      </c>
    </row>
    <row r="456" spans="1:11" x14ac:dyDescent="0.3">
      <c r="F456" s="1"/>
      <c r="G456" s="1"/>
      <c r="I456" s="1"/>
    </row>
    <row r="458" spans="1:11" ht="18" x14ac:dyDescent="0.35">
      <c r="A458" s="37" t="s">
        <v>153</v>
      </c>
      <c r="B458" s="28"/>
      <c r="C458" s="28"/>
      <c r="D458" s="28"/>
    </row>
    <row r="459" spans="1:11" x14ac:dyDescent="0.3">
      <c r="B459" s="2" t="s">
        <v>20</v>
      </c>
      <c r="C459" s="2" t="s">
        <v>13</v>
      </c>
      <c r="D459" s="2" t="s">
        <v>17</v>
      </c>
      <c r="E459" s="2" t="s">
        <v>22</v>
      </c>
      <c r="F459" s="2" t="s">
        <v>18</v>
      </c>
      <c r="G459" s="2" t="s">
        <v>19</v>
      </c>
    </row>
    <row r="460" spans="1:11" x14ac:dyDescent="0.3">
      <c r="A460" s="2" t="s">
        <v>54</v>
      </c>
      <c r="B460" s="47"/>
      <c r="C460" s="48"/>
      <c r="D460" s="48"/>
      <c r="E460" s="49"/>
      <c r="F460" s="6">
        <f>+B444</f>
        <v>1.1594117460317461E-2</v>
      </c>
      <c r="G460" s="2"/>
    </row>
    <row r="461" spans="1:11" x14ac:dyDescent="0.3">
      <c r="A461" s="7" t="s">
        <v>24</v>
      </c>
      <c r="B461" s="2">
        <f>+$B$7/10000</f>
        <v>4.7840000000000001E-3</v>
      </c>
      <c r="C461" s="2">
        <v>0.97</v>
      </c>
      <c r="D461" s="2">
        <v>100</v>
      </c>
      <c r="E461" s="2"/>
      <c r="F461" s="6">
        <f t="shared" ref="F461" si="21">+B461*C461*D461/360</f>
        <v>1.2890222222222221E-3</v>
      </c>
      <c r="G461" s="6"/>
    </row>
    <row r="462" spans="1:11" x14ac:dyDescent="0.3">
      <c r="A462" s="11"/>
      <c r="B462" s="11"/>
      <c r="C462" s="11"/>
      <c r="D462" s="11"/>
      <c r="E462" s="11"/>
      <c r="F462" s="12"/>
      <c r="G462" s="12"/>
    </row>
    <row r="463" spans="1:11" x14ac:dyDescent="0.3">
      <c r="F463" s="2" t="s">
        <v>43</v>
      </c>
      <c r="G463" s="6">
        <f>+F460+F461</f>
        <v>1.2883139682539683E-2</v>
      </c>
    </row>
    <row r="464" spans="1:11" x14ac:dyDescent="0.3">
      <c r="A464" s="1" t="s">
        <v>71</v>
      </c>
      <c r="B464" s="1"/>
      <c r="C464" s="1"/>
    </row>
    <row r="465" spans="1:8" x14ac:dyDescent="0.3">
      <c r="A465" s="5" t="s">
        <v>66</v>
      </c>
      <c r="B465" s="14">
        <f>+G463</f>
        <v>1.2883139682539683E-2</v>
      </c>
      <c r="C465" t="s">
        <v>15</v>
      </c>
    </row>
    <row r="466" spans="1:8" x14ac:dyDescent="0.3">
      <c r="A466" s="5" t="s">
        <v>56</v>
      </c>
      <c r="B466" s="7">
        <v>0.01</v>
      </c>
      <c r="D466" s="1"/>
      <c r="E466" s="1"/>
    </row>
    <row r="467" spans="1:8" ht="18" x14ac:dyDescent="0.35">
      <c r="A467" s="21" t="s">
        <v>68</v>
      </c>
      <c r="B467" s="15">
        <f>300*PI()/180</f>
        <v>5.2359877559829888</v>
      </c>
      <c r="C467" t="s">
        <v>58</v>
      </c>
    </row>
    <row r="468" spans="1:8" x14ac:dyDescent="0.3">
      <c r="A468" s="5" t="s">
        <v>38</v>
      </c>
      <c r="B468" s="7">
        <v>0.1181</v>
      </c>
      <c r="C468" t="s">
        <v>50</v>
      </c>
    </row>
    <row r="469" spans="1:8" x14ac:dyDescent="0.3">
      <c r="A469" s="23" t="s">
        <v>57</v>
      </c>
      <c r="B469" s="22">
        <v>4</v>
      </c>
      <c r="C469" t="s">
        <v>65</v>
      </c>
      <c r="G469" s="13"/>
    </row>
    <row r="471" spans="1:8" x14ac:dyDescent="0.3">
      <c r="A471" s="8" t="s">
        <v>57</v>
      </c>
      <c r="B471" s="2" t="s">
        <v>38</v>
      </c>
      <c r="C471" s="5" t="s">
        <v>39</v>
      </c>
      <c r="D471" s="5" t="s">
        <v>40</v>
      </c>
      <c r="E471" s="5" t="s">
        <v>41</v>
      </c>
      <c r="F471" s="8" t="s">
        <v>99</v>
      </c>
      <c r="G471" s="8" t="s">
        <v>96</v>
      </c>
    </row>
    <row r="472" spans="1:8" x14ac:dyDescent="0.3">
      <c r="A472" s="9">
        <f>+B469*0.0254</f>
        <v>0.1016</v>
      </c>
      <c r="B472" s="2">
        <f>+B468</f>
        <v>0.1181</v>
      </c>
      <c r="C472" s="4">
        <f>+((B467-SIN(B467))*(A472)^2)/8</f>
        <v>7.8735496203111068E-3</v>
      </c>
      <c r="D472" s="2">
        <f>+B467*A472/2</f>
        <v>0.26598817800393582</v>
      </c>
      <c r="E472" s="2">
        <f>(1-SIN(B467)/B467)*(A472)/4</f>
        <v>2.9601126183114054E-2</v>
      </c>
      <c r="F472" s="9">
        <f>C472*(E472^(2/3))*(B472^(1/2))/B466</f>
        <v>2.5892123734715371E-2</v>
      </c>
      <c r="G472" s="20">
        <f>+B465/C472</f>
        <v>1.6362556031025093</v>
      </c>
    </row>
    <row r="474" spans="1:8" x14ac:dyDescent="0.3">
      <c r="C474" s="1" t="s">
        <v>100</v>
      </c>
      <c r="D474" s="1"/>
      <c r="F474" s="1" t="str">
        <f>+IF(B465&lt;F472,"CUMPLE","NO CUMPLE")</f>
        <v>CUMPLE</v>
      </c>
      <c r="G474" s="1"/>
    </row>
    <row r="475" spans="1:8" x14ac:dyDescent="0.3">
      <c r="C475" s="1" t="s">
        <v>98</v>
      </c>
      <c r="D475" s="1"/>
      <c r="F475" s="1" t="str">
        <f>+IF(G472&lt;5,"CUMPLE","Verificar Diametro")</f>
        <v>CUMPLE</v>
      </c>
    </row>
    <row r="476" spans="1:8" x14ac:dyDescent="0.3">
      <c r="C476" s="1" t="s">
        <v>69</v>
      </c>
      <c r="D476" s="1"/>
      <c r="H476" s="34"/>
    </row>
    <row r="477" spans="1:8" x14ac:dyDescent="0.3">
      <c r="D477" s="27" t="s">
        <v>59</v>
      </c>
      <c r="E477" s="27">
        <f>IF(B465&lt;F472,A472/0.0254,"Modificar Diametro")</f>
        <v>4</v>
      </c>
      <c r="F477" s="27" t="s">
        <v>65</v>
      </c>
    </row>
    <row r="478" spans="1:8" x14ac:dyDescent="0.3">
      <c r="D478" s="35"/>
      <c r="E478" s="35"/>
      <c r="F478" s="35"/>
    </row>
    <row r="479" spans="1:8" x14ac:dyDescent="0.3">
      <c r="D479" s="35"/>
      <c r="E479" s="35"/>
      <c r="F479" s="35"/>
    </row>
    <row r="480" spans="1:8" ht="18" x14ac:dyDescent="0.35">
      <c r="A480" s="10" t="s">
        <v>116</v>
      </c>
      <c r="B480" s="28"/>
      <c r="C480" s="28"/>
      <c r="D480" s="28"/>
    </row>
    <row r="481" spans="1:7" x14ac:dyDescent="0.3">
      <c r="B481" s="2" t="s">
        <v>20</v>
      </c>
      <c r="C481" s="2" t="s">
        <v>13</v>
      </c>
      <c r="D481" s="2" t="s">
        <v>17</v>
      </c>
      <c r="E481" s="2" t="s">
        <v>22</v>
      </c>
      <c r="F481" s="2" t="s">
        <v>18</v>
      </c>
      <c r="G481" s="2" t="s">
        <v>19</v>
      </c>
    </row>
    <row r="482" spans="1:7" x14ac:dyDescent="0.3">
      <c r="A482" s="2" t="s">
        <v>54</v>
      </c>
      <c r="B482" s="47"/>
      <c r="C482" s="48"/>
      <c r="D482" s="48"/>
      <c r="E482" s="49"/>
      <c r="F482" s="6">
        <f>+B398+B465</f>
        <v>9.1486730423280427E-2</v>
      </c>
      <c r="G482" s="2"/>
    </row>
    <row r="483" spans="1:7" x14ac:dyDescent="0.3">
      <c r="A483" s="7" t="s">
        <v>25</v>
      </c>
      <c r="B483" s="2">
        <f>+$B$8/10000</f>
        <v>3.5923999999999998E-2</v>
      </c>
      <c r="C483" s="2">
        <v>0.97</v>
      </c>
      <c r="D483" s="2">
        <v>100</v>
      </c>
      <c r="E483" s="2">
        <v>6</v>
      </c>
      <c r="F483" s="6">
        <f t="shared" ref="F483" si="22">+B483*C483*D483/360</f>
        <v>9.679522222222221E-3</v>
      </c>
      <c r="G483" s="6">
        <f t="shared" ref="G483" si="23">+F483/E483</f>
        <v>1.6132537037037034E-3</v>
      </c>
    </row>
    <row r="484" spans="1:7" x14ac:dyDescent="0.3">
      <c r="A484" s="11"/>
      <c r="B484" s="11"/>
      <c r="C484" s="11"/>
      <c r="D484" s="11"/>
      <c r="E484" s="11"/>
      <c r="F484" s="12"/>
      <c r="G484" s="12"/>
    </row>
    <row r="485" spans="1:7" x14ac:dyDescent="0.3">
      <c r="F485" s="2" t="s">
        <v>43</v>
      </c>
      <c r="G485" s="6">
        <f>+F482+G483</f>
        <v>9.3099984126984128E-2</v>
      </c>
    </row>
    <row r="486" spans="1:7" x14ac:dyDescent="0.3">
      <c r="A486" s="1" t="s">
        <v>71</v>
      </c>
      <c r="B486" s="1"/>
      <c r="C486" s="1"/>
    </row>
    <row r="487" spans="1:7" x14ac:dyDescent="0.3">
      <c r="A487" s="5" t="s">
        <v>66</v>
      </c>
      <c r="B487" s="14">
        <f>+G485</f>
        <v>9.3099984126984128E-2</v>
      </c>
      <c r="C487" t="s">
        <v>15</v>
      </c>
    </row>
    <row r="488" spans="1:7" x14ac:dyDescent="0.3">
      <c r="A488" s="5" t="s">
        <v>56</v>
      </c>
      <c r="B488" s="7">
        <v>0.01</v>
      </c>
      <c r="D488" s="1"/>
      <c r="E488" s="1"/>
    </row>
    <row r="489" spans="1:7" ht="18" x14ac:dyDescent="0.35">
      <c r="A489" s="21" t="s">
        <v>93</v>
      </c>
      <c r="B489" s="15">
        <f>180*PI()/180</f>
        <v>3.1415926535897931</v>
      </c>
      <c r="C489" t="s">
        <v>58</v>
      </c>
    </row>
    <row r="490" spans="1:7" x14ac:dyDescent="0.3">
      <c r="A490" s="5" t="s">
        <v>38</v>
      </c>
      <c r="B490" s="7">
        <v>0.02</v>
      </c>
      <c r="C490" t="s">
        <v>50</v>
      </c>
    </row>
    <row r="491" spans="1:7" x14ac:dyDescent="0.3">
      <c r="A491" s="23" t="s">
        <v>57</v>
      </c>
      <c r="B491" s="22">
        <v>14</v>
      </c>
      <c r="C491" t="s">
        <v>65</v>
      </c>
      <c r="G491" s="13"/>
    </row>
    <row r="493" spans="1:7" x14ac:dyDescent="0.3">
      <c r="A493" s="8" t="s">
        <v>57</v>
      </c>
      <c r="B493" s="2" t="s">
        <v>38</v>
      </c>
      <c r="C493" s="5" t="s">
        <v>39</v>
      </c>
      <c r="D493" s="5" t="s">
        <v>40</v>
      </c>
      <c r="E493" s="5" t="s">
        <v>41</v>
      </c>
      <c r="F493" s="8" t="s">
        <v>99</v>
      </c>
      <c r="G493" s="8" t="s">
        <v>96</v>
      </c>
    </row>
    <row r="494" spans="1:7" x14ac:dyDescent="0.3">
      <c r="A494" s="9">
        <f>+B491*0.0254</f>
        <v>0.35559999999999997</v>
      </c>
      <c r="B494" s="2">
        <f>+B490</f>
        <v>0.02</v>
      </c>
      <c r="C494" s="4">
        <f>+((B489-SIN(B489))*(A494)^2)/8</f>
        <v>4.9657332951554771E-2</v>
      </c>
      <c r="D494" s="2">
        <f>+B489*A494/2</f>
        <v>0.55857517380826516</v>
      </c>
      <c r="E494" s="2">
        <f>(1-SIN(B489)/B489)*(A494)/4</f>
        <v>8.8899999999999993E-2</v>
      </c>
      <c r="F494" s="9">
        <f>C494*(E494^(2/3))*(B494^(1/2))/B488</f>
        <v>0.13988341580465874</v>
      </c>
      <c r="G494" s="20">
        <f>+B487/C494</f>
        <v>1.8748486596694913</v>
      </c>
    </row>
    <row r="496" spans="1:7" x14ac:dyDescent="0.3">
      <c r="C496" s="1" t="s">
        <v>100</v>
      </c>
      <c r="D496" s="1"/>
      <c r="F496" s="1" t="str">
        <f>+IF(B487&lt;F494,"CUMPLE","NO CUMPLE")</f>
        <v>CUMPLE</v>
      </c>
      <c r="G496" s="1"/>
    </row>
    <row r="497" spans="1:7" x14ac:dyDescent="0.3">
      <c r="C497" s="1" t="s">
        <v>98</v>
      </c>
      <c r="D497" s="1"/>
      <c r="F497" s="1" t="str">
        <f>+IF(G494&lt;5,"CUMPLE","Verificar Diametro")</f>
        <v>CUMPLE</v>
      </c>
    </row>
    <row r="498" spans="1:7" x14ac:dyDescent="0.3">
      <c r="C498" s="1" t="s">
        <v>69</v>
      </c>
      <c r="D498" s="1"/>
    </row>
    <row r="499" spans="1:7" x14ac:dyDescent="0.3">
      <c r="D499" s="27" t="s">
        <v>59</v>
      </c>
      <c r="E499" s="27">
        <f>IF(B487&lt;F494,A494/0.0254,"Modificar Diametro")</f>
        <v>14</v>
      </c>
      <c r="F499" s="27" t="s">
        <v>65</v>
      </c>
    </row>
    <row r="502" spans="1:7" ht="18" x14ac:dyDescent="0.35">
      <c r="A502" s="37" t="s">
        <v>117</v>
      </c>
      <c r="B502" s="28"/>
      <c r="C502" s="28"/>
      <c r="D502" s="28"/>
    </row>
    <row r="503" spans="1:7" x14ac:dyDescent="0.3">
      <c r="B503" s="2" t="s">
        <v>20</v>
      </c>
      <c r="C503" s="2" t="s">
        <v>13</v>
      </c>
      <c r="D503" s="2" t="s">
        <v>17</v>
      </c>
      <c r="E503" s="2" t="s">
        <v>22</v>
      </c>
      <c r="F503" s="2" t="s">
        <v>18</v>
      </c>
      <c r="G503" s="2" t="s">
        <v>19</v>
      </c>
    </row>
    <row r="504" spans="1:7" x14ac:dyDescent="0.3">
      <c r="A504" s="2" t="s">
        <v>54</v>
      </c>
      <c r="B504" s="47"/>
      <c r="C504" s="48"/>
      <c r="D504" s="48"/>
      <c r="E504" s="49"/>
      <c r="F504" s="6">
        <f>+B487</f>
        <v>9.3099984126984128E-2</v>
      </c>
      <c r="G504" s="2"/>
    </row>
    <row r="505" spans="1:7" x14ac:dyDescent="0.3">
      <c r="A505" s="11"/>
      <c r="B505" s="11"/>
      <c r="C505" s="11"/>
      <c r="D505" s="11"/>
      <c r="E505" s="11"/>
      <c r="F505" s="12"/>
      <c r="G505" s="12"/>
    </row>
    <row r="506" spans="1:7" x14ac:dyDescent="0.3">
      <c r="F506" s="2" t="s">
        <v>43</v>
      </c>
      <c r="G506" s="6">
        <f>+F504</f>
        <v>9.3099984126984128E-2</v>
      </c>
    </row>
    <row r="507" spans="1:7" x14ac:dyDescent="0.3">
      <c r="A507" s="1" t="s">
        <v>71</v>
      </c>
      <c r="B507" s="1"/>
      <c r="C507" s="1"/>
    </row>
    <row r="508" spans="1:7" x14ac:dyDescent="0.3">
      <c r="A508" s="5" t="s">
        <v>66</v>
      </c>
      <c r="B508" s="14">
        <f>+G506</f>
        <v>9.3099984126984128E-2</v>
      </c>
      <c r="C508" t="s">
        <v>15</v>
      </c>
    </row>
    <row r="509" spans="1:7" x14ac:dyDescent="0.3">
      <c r="A509" s="5" t="s">
        <v>56</v>
      </c>
      <c r="B509" s="7">
        <v>0.01</v>
      </c>
      <c r="D509" s="1"/>
      <c r="E509" s="1"/>
    </row>
    <row r="510" spans="1:7" ht="18" x14ac:dyDescent="0.35">
      <c r="A510" s="21" t="s">
        <v>93</v>
      </c>
      <c r="B510" s="15">
        <f>180*PI()/180</f>
        <v>3.1415926535897931</v>
      </c>
      <c r="C510" t="s">
        <v>58</v>
      </c>
    </row>
    <row r="511" spans="1:7" x14ac:dyDescent="0.3">
      <c r="A511" s="5" t="s">
        <v>38</v>
      </c>
      <c r="B511" s="7">
        <v>0.20569999999999999</v>
      </c>
      <c r="C511" t="s">
        <v>50</v>
      </c>
    </row>
    <row r="512" spans="1:7" x14ac:dyDescent="0.3">
      <c r="A512" s="23" t="s">
        <v>57</v>
      </c>
      <c r="B512" s="22">
        <v>14</v>
      </c>
      <c r="C512" t="s">
        <v>65</v>
      </c>
      <c r="G512" s="13"/>
    </row>
    <row r="514" spans="1:7" x14ac:dyDescent="0.3">
      <c r="A514" s="8" t="s">
        <v>57</v>
      </c>
      <c r="B514" s="2" t="s">
        <v>38</v>
      </c>
      <c r="C514" s="5" t="s">
        <v>39</v>
      </c>
      <c r="D514" s="5" t="s">
        <v>40</v>
      </c>
      <c r="E514" s="5" t="s">
        <v>41</v>
      </c>
      <c r="F514" s="8" t="s">
        <v>99</v>
      </c>
      <c r="G514" s="8" t="s">
        <v>96</v>
      </c>
    </row>
    <row r="515" spans="1:7" x14ac:dyDescent="0.3">
      <c r="A515" s="9">
        <f>+B512*0.0254</f>
        <v>0.35559999999999997</v>
      </c>
      <c r="B515" s="2">
        <f>+B511</f>
        <v>0.20569999999999999</v>
      </c>
      <c r="C515" s="4">
        <f>+((B510-SIN(B510))*(A515)^2)/8</f>
        <v>4.9657332951554771E-2</v>
      </c>
      <c r="D515" s="2">
        <f>+B510*A515/2</f>
        <v>0.55857517380826516</v>
      </c>
      <c r="E515" s="2">
        <f>(1-SIN(B510)/B510)*(A515)/4</f>
        <v>8.8899999999999993E-2</v>
      </c>
      <c r="F515" s="9">
        <f>C515*(E515^(2/3))*(B515^(1/2))/B509</f>
        <v>0.44860940764398433</v>
      </c>
      <c r="G515" s="20">
        <f>+B508/C515</f>
        <v>1.8748486596694913</v>
      </c>
    </row>
    <row r="517" spans="1:7" x14ac:dyDescent="0.3">
      <c r="C517" s="1" t="s">
        <v>100</v>
      </c>
      <c r="D517" s="1"/>
      <c r="F517" s="1" t="str">
        <f>+IF(B508&lt;F515,"CUMPLE","NO CUMPLE")</f>
        <v>CUMPLE</v>
      </c>
      <c r="G517" s="1"/>
    </row>
    <row r="518" spans="1:7" x14ac:dyDescent="0.3">
      <c r="C518" s="1" t="s">
        <v>98</v>
      </c>
      <c r="D518" s="1"/>
      <c r="F518" s="1" t="str">
        <f>+IF(G515&lt;5,"CUMPLE","Verificar Diametro")</f>
        <v>CUMPLE</v>
      </c>
    </row>
    <row r="519" spans="1:7" x14ac:dyDescent="0.3">
      <c r="C519" s="1" t="s">
        <v>69</v>
      </c>
      <c r="D519" s="1"/>
    </row>
    <row r="520" spans="1:7" x14ac:dyDescent="0.3">
      <c r="D520" s="27" t="s">
        <v>59</v>
      </c>
      <c r="E520" s="27">
        <f>IF(B508&lt;F515,A515/0.0254,"Modificar Diametro")</f>
        <v>14</v>
      </c>
      <c r="F520" s="27" t="s">
        <v>65</v>
      </c>
    </row>
    <row r="523" spans="1:7" ht="18" x14ac:dyDescent="0.35">
      <c r="A523" s="26" t="s">
        <v>191</v>
      </c>
      <c r="B523" s="28"/>
    </row>
    <row r="524" spans="1:7" x14ac:dyDescent="0.3">
      <c r="A524" t="s">
        <v>90</v>
      </c>
      <c r="B524" s="2" t="s">
        <v>20</v>
      </c>
      <c r="C524" s="2" t="s">
        <v>13</v>
      </c>
      <c r="D524" s="2" t="s">
        <v>17</v>
      </c>
      <c r="E524" s="2" t="s">
        <v>22</v>
      </c>
      <c r="F524" s="2" t="s">
        <v>18</v>
      </c>
      <c r="G524" s="2" t="s">
        <v>19</v>
      </c>
    </row>
    <row r="525" spans="1:7" x14ac:dyDescent="0.3">
      <c r="A525" s="7" t="s">
        <v>25</v>
      </c>
      <c r="B525" s="2">
        <f>+$B$8/10000</f>
        <v>3.5923999999999998E-2</v>
      </c>
      <c r="C525" s="2">
        <v>0.97</v>
      </c>
      <c r="D525" s="2">
        <v>100</v>
      </c>
      <c r="E525" s="2">
        <v>6</v>
      </c>
      <c r="F525" s="6">
        <f t="shared" ref="F525:F526" si="24">+B525*C525*D525/360</f>
        <v>9.679522222222221E-3</v>
      </c>
      <c r="G525" s="6">
        <f t="shared" ref="G525" si="25">+F525/E525</f>
        <v>1.6132537037037034E-3</v>
      </c>
    </row>
    <row r="526" spans="1:7" x14ac:dyDescent="0.3">
      <c r="A526" s="2" t="s">
        <v>88</v>
      </c>
      <c r="B526" s="2">
        <f>(67+12)/10000</f>
        <v>7.9000000000000008E-3</v>
      </c>
      <c r="C526" s="2">
        <v>0.97</v>
      </c>
      <c r="D526" s="2">
        <v>100</v>
      </c>
      <c r="E526" s="2"/>
      <c r="F526" s="6">
        <f t="shared" si="24"/>
        <v>2.1286111111111115E-3</v>
      </c>
      <c r="G526" s="2"/>
    </row>
    <row r="527" spans="1:7" x14ac:dyDescent="0.3">
      <c r="A527" s="11"/>
      <c r="B527" s="11"/>
      <c r="C527" s="11"/>
      <c r="D527" s="11"/>
      <c r="E527" s="11"/>
      <c r="F527" s="12"/>
      <c r="G527" s="12"/>
    </row>
    <row r="528" spans="1:7" x14ac:dyDescent="0.3">
      <c r="F528" s="2" t="s">
        <v>43</v>
      </c>
      <c r="G528" s="6">
        <f>+G525*2+F526</f>
        <v>5.3551185185185188E-3</v>
      </c>
    </row>
    <row r="529" spans="1:11" x14ac:dyDescent="0.3">
      <c r="F529" s="11"/>
      <c r="G529" s="12"/>
    </row>
    <row r="530" spans="1:11" x14ac:dyDescent="0.3">
      <c r="A530" s="1" t="s">
        <v>33</v>
      </c>
      <c r="B530" s="1"/>
      <c r="C530" s="1"/>
    </row>
    <row r="531" spans="1:11" x14ac:dyDescent="0.3">
      <c r="A531" s="5" t="s">
        <v>34</v>
      </c>
      <c r="B531" s="14">
        <f>+G528</f>
        <v>5.3551185185185188E-3</v>
      </c>
      <c r="C531" t="s">
        <v>15</v>
      </c>
    </row>
    <row r="532" spans="1:11" x14ac:dyDescent="0.3">
      <c r="A532" s="5" t="s">
        <v>44</v>
      </c>
      <c r="B532" s="7">
        <v>1.2999999999999999E-2</v>
      </c>
    </row>
    <row r="533" spans="1:11" x14ac:dyDescent="0.3">
      <c r="A533" s="5" t="s">
        <v>35</v>
      </c>
      <c r="B533" s="7">
        <v>0</v>
      </c>
    </row>
    <row r="534" spans="1:11" x14ac:dyDescent="0.3">
      <c r="A534" s="5" t="s">
        <v>36</v>
      </c>
      <c r="B534" s="7">
        <v>0.2</v>
      </c>
      <c r="C534" t="s">
        <v>49</v>
      </c>
    </row>
    <row r="535" spans="1:11" x14ac:dyDescent="0.3">
      <c r="A535" s="5" t="s">
        <v>38</v>
      </c>
      <c r="B535" s="7">
        <v>0.01</v>
      </c>
      <c r="C535" t="s">
        <v>50</v>
      </c>
      <c r="H535" s="13"/>
    </row>
    <row r="536" spans="1:11" x14ac:dyDescent="0.3">
      <c r="A536" s="5" t="s">
        <v>48</v>
      </c>
      <c r="B536" s="7">
        <v>0.3</v>
      </c>
      <c r="C536" t="s">
        <v>49</v>
      </c>
      <c r="G536" s="13"/>
    </row>
    <row r="538" spans="1:11" x14ac:dyDescent="0.3">
      <c r="A538" s="8" t="s">
        <v>37</v>
      </c>
      <c r="B538" s="2" t="s">
        <v>38</v>
      </c>
      <c r="C538" s="5" t="s">
        <v>39</v>
      </c>
      <c r="D538" s="5" t="s">
        <v>40</v>
      </c>
      <c r="E538" s="5" t="s">
        <v>41</v>
      </c>
      <c r="F538" s="5" t="s">
        <v>34</v>
      </c>
      <c r="G538" s="17" t="s">
        <v>45</v>
      </c>
      <c r="H538" s="8" t="s">
        <v>60</v>
      </c>
      <c r="I538" s="17" t="s">
        <v>46</v>
      </c>
      <c r="J538" s="8" t="s">
        <v>101</v>
      </c>
      <c r="K538" s="8" t="s">
        <v>96</v>
      </c>
    </row>
    <row r="539" spans="1:11" x14ac:dyDescent="0.3">
      <c r="A539" s="9">
        <v>3.8904547575315265E-2</v>
      </c>
      <c r="B539" s="4">
        <f>+B535</f>
        <v>0.01</v>
      </c>
      <c r="C539" s="2">
        <f>+A539*B534</f>
        <v>7.7809095150630538E-3</v>
      </c>
      <c r="D539" s="2">
        <f>+B534+2*A539</f>
        <v>0.27780909515063057</v>
      </c>
      <c r="E539" s="2">
        <f>C539/D539</f>
        <v>2.8008116547963181E-2</v>
      </c>
      <c r="F539" s="2">
        <f>C539*(E539^(2/3))*(B539^(1/2))/B532</f>
        <v>5.5200492079544366E-3</v>
      </c>
      <c r="G539" s="31">
        <f>ROUND(A539,2)</f>
        <v>0.04</v>
      </c>
      <c r="H539" s="20">
        <f>+ROUND(G539,4)*100</f>
        <v>4</v>
      </c>
      <c r="I539" s="2">
        <f>4/5*B536</f>
        <v>0.24</v>
      </c>
      <c r="J539" s="9">
        <f>+(B536-G539)*100</f>
        <v>26</v>
      </c>
      <c r="K539" s="20">
        <f>+B531/C539</f>
        <v>0.68823811768425669</v>
      </c>
    </row>
    <row r="541" spans="1:11" x14ac:dyDescent="0.3">
      <c r="F541" s="1" t="s">
        <v>47</v>
      </c>
      <c r="G541" s="1"/>
      <c r="H541" s="1"/>
      <c r="I541" s="1" t="str">
        <f>IF(G539&lt;I539,"CUMPLE","NO CUMPLE")</f>
        <v>CUMPLE</v>
      </c>
    </row>
    <row r="542" spans="1:11" x14ac:dyDescent="0.3">
      <c r="F542" s="1" t="s">
        <v>97</v>
      </c>
      <c r="G542" s="1"/>
      <c r="I542" s="1" t="str">
        <f>+IF(K539&lt;3,"CUMPLE","Verificar Ancho")</f>
        <v>CUMPLE</v>
      </c>
    </row>
    <row r="543" spans="1:11" x14ac:dyDescent="0.3">
      <c r="H543" s="1"/>
      <c r="I543" s="1"/>
    </row>
    <row r="544" spans="1:11" x14ac:dyDescent="0.3">
      <c r="H544" s="1"/>
      <c r="I544" s="1"/>
    </row>
    <row r="545" spans="1:7" ht="18" x14ac:dyDescent="0.35">
      <c r="A545" s="37" t="s">
        <v>192</v>
      </c>
      <c r="B545" s="28"/>
      <c r="C545" s="28"/>
      <c r="D545" s="28"/>
    </row>
    <row r="546" spans="1:7" x14ac:dyDescent="0.3">
      <c r="B546" s="2" t="s">
        <v>20</v>
      </c>
      <c r="C546" s="2" t="s">
        <v>13</v>
      </c>
      <c r="D546" s="2" t="s">
        <v>17</v>
      </c>
      <c r="E546" s="2" t="s">
        <v>22</v>
      </c>
      <c r="F546" s="2" t="s">
        <v>18</v>
      </c>
      <c r="G546" s="2" t="s">
        <v>19</v>
      </c>
    </row>
    <row r="547" spans="1:7" x14ac:dyDescent="0.3">
      <c r="A547" s="2" t="s">
        <v>54</v>
      </c>
      <c r="B547" s="47"/>
      <c r="C547" s="48"/>
      <c r="D547" s="48"/>
      <c r="E547" s="49"/>
      <c r="F547" s="6">
        <f>+B531</f>
        <v>5.3551185185185188E-3</v>
      </c>
      <c r="G547" s="2"/>
    </row>
    <row r="548" spans="1:7" x14ac:dyDescent="0.3">
      <c r="A548" s="11"/>
      <c r="B548" s="11"/>
      <c r="C548" s="11"/>
      <c r="D548" s="11"/>
      <c r="E548" s="11"/>
      <c r="F548" s="12"/>
      <c r="G548" s="12"/>
    </row>
    <row r="549" spans="1:7" x14ac:dyDescent="0.3">
      <c r="F549" s="2" t="s">
        <v>43</v>
      </c>
      <c r="G549" s="6">
        <f>+F547</f>
        <v>5.3551185185185188E-3</v>
      </c>
    </row>
    <row r="550" spans="1:7" x14ac:dyDescent="0.3">
      <c r="A550" s="1" t="s">
        <v>71</v>
      </c>
      <c r="B550" s="1"/>
      <c r="C550" s="1"/>
    </row>
    <row r="551" spans="1:7" x14ac:dyDescent="0.3">
      <c r="A551" s="5" t="s">
        <v>66</v>
      </c>
      <c r="B551" s="14">
        <f>+G549</f>
        <v>5.3551185185185188E-3</v>
      </c>
      <c r="C551" t="s">
        <v>15</v>
      </c>
    </row>
    <row r="552" spans="1:7" x14ac:dyDescent="0.3">
      <c r="A552" s="5" t="s">
        <v>56</v>
      </c>
      <c r="B552" s="7">
        <v>0.01</v>
      </c>
      <c r="D552" s="1"/>
      <c r="E552" s="1"/>
    </row>
    <row r="553" spans="1:7" ht="18" x14ac:dyDescent="0.35">
      <c r="A553" s="21" t="s">
        <v>68</v>
      </c>
      <c r="B553" s="15">
        <f>300*PI()/180</f>
        <v>5.2359877559829888</v>
      </c>
      <c r="C553" t="s">
        <v>58</v>
      </c>
    </row>
    <row r="554" spans="1:7" x14ac:dyDescent="0.3">
      <c r="A554" s="5" t="s">
        <v>38</v>
      </c>
      <c r="B554" s="7">
        <v>0.24679999999999999</v>
      </c>
      <c r="C554" t="s">
        <v>50</v>
      </c>
    </row>
    <row r="555" spans="1:7" x14ac:dyDescent="0.3">
      <c r="A555" s="23" t="s">
        <v>57</v>
      </c>
      <c r="B555" s="22">
        <v>4</v>
      </c>
      <c r="C555" t="s">
        <v>65</v>
      </c>
      <c r="G555" s="13"/>
    </row>
    <row r="557" spans="1:7" x14ac:dyDescent="0.3">
      <c r="A557" s="8" t="s">
        <v>57</v>
      </c>
      <c r="B557" s="2" t="s">
        <v>38</v>
      </c>
      <c r="C557" s="5" t="s">
        <v>39</v>
      </c>
      <c r="D557" s="5" t="s">
        <v>40</v>
      </c>
      <c r="E557" s="5" t="s">
        <v>41</v>
      </c>
      <c r="F557" s="8" t="s">
        <v>99</v>
      </c>
      <c r="G557" s="8" t="s">
        <v>96</v>
      </c>
    </row>
    <row r="558" spans="1:7" x14ac:dyDescent="0.3">
      <c r="A558" s="9">
        <f>+B555*0.0254</f>
        <v>0.1016</v>
      </c>
      <c r="B558" s="2">
        <f>+B554</f>
        <v>0.24679999999999999</v>
      </c>
      <c r="C558" s="4">
        <f>+((B553-SIN(B553))*(A558)^2)/8</f>
        <v>7.8735496203111068E-3</v>
      </c>
      <c r="D558" s="2">
        <f>+B553*A558/2</f>
        <v>0.26598817800393582</v>
      </c>
      <c r="E558" s="2">
        <f>(1-SIN(B553)/B553)*(A558)/4</f>
        <v>2.9601126183114054E-2</v>
      </c>
      <c r="F558" s="9">
        <f>C558*(E558^(2/3))*(B558^(1/2))/B552</f>
        <v>3.7429610058076788E-2</v>
      </c>
      <c r="G558" s="20">
        <f>+B551/C558</f>
        <v>0.68014031494817995</v>
      </c>
    </row>
    <row r="560" spans="1:7" x14ac:dyDescent="0.3">
      <c r="C560" s="1" t="s">
        <v>100</v>
      </c>
      <c r="D560" s="1"/>
      <c r="F560" s="1" t="str">
        <f>+IF(B551&lt;F558,"CUMPLE","NO CUMPLE")</f>
        <v>CUMPLE</v>
      </c>
      <c r="G560" s="1"/>
    </row>
    <row r="561" spans="1:7" x14ac:dyDescent="0.3">
      <c r="C561" s="1" t="s">
        <v>98</v>
      </c>
      <c r="D561" s="1"/>
      <c r="F561" s="1" t="str">
        <f>+IF(G558&lt;5,"CUMPLE","Verificar Diametro")</f>
        <v>CUMPLE</v>
      </c>
    </row>
    <row r="562" spans="1:7" x14ac:dyDescent="0.3">
      <c r="C562" s="1" t="s">
        <v>69</v>
      </c>
      <c r="D562" s="1"/>
    </row>
    <row r="563" spans="1:7" x14ac:dyDescent="0.3">
      <c r="D563" s="27" t="s">
        <v>59</v>
      </c>
      <c r="E563" s="27">
        <f>IF(B551&lt;F558,A558/0.0254,"Modificar Diametro")</f>
        <v>4</v>
      </c>
      <c r="F563" s="27" t="s">
        <v>65</v>
      </c>
    </row>
    <row r="566" spans="1:7" ht="18" x14ac:dyDescent="0.35">
      <c r="A566" s="10" t="s">
        <v>124</v>
      </c>
      <c r="B566" s="28"/>
      <c r="C566" s="28"/>
      <c r="D566" s="28"/>
    </row>
    <row r="567" spans="1:7" x14ac:dyDescent="0.3">
      <c r="B567" s="2" t="s">
        <v>20</v>
      </c>
      <c r="C567" s="2" t="s">
        <v>13</v>
      </c>
      <c r="D567" s="2" t="s">
        <v>17</v>
      </c>
      <c r="E567" s="2" t="s">
        <v>22</v>
      </c>
      <c r="F567" s="2" t="s">
        <v>18</v>
      </c>
      <c r="G567" s="2" t="s">
        <v>19</v>
      </c>
    </row>
    <row r="568" spans="1:7" x14ac:dyDescent="0.3">
      <c r="A568" s="2" t="s">
        <v>54</v>
      </c>
      <c r="B568" s="47"/>
      <c r="C568" s="48"/>
      <c r="D568" s="48"/>
      <c r="E568" s="49"/>
      <c r="F568" s="6">
        <f>+B551+B508</f>
        <v>9.845510264550264E-2</v>
      </c>
      <c r="G568" s="2"/>
    </row>
    <row r="569" spans="1:7" x14ac:dyDescent="0.3">
      <c r="A569" s="11"/>
      <c r="B569" s="11"/>
      <c r="C569" s="11"/>
      <c r="D569" s="11"/>
      <c r="E569" s="11"/>
      <c r="F569" s="12"/>
      <c r="G569" s="12"/>
    </row>
    <row r="570" spans="1:7" x14ac:dyDescent="0.3">
      <c r="F570" s="2" t="s">
        <v>43</v>
      </c>
      <c r="G570" s="6">
        <f>+F568</f>
        <v>9.845510264550264E-2</v>
      </c>
    </row>
    <row r="571" spans="1:7" x14ac:dyDescent="0.3">
      <c r="A571" s="1" t="s">
        <v>71</v>
      </c>
      <c r="B571" s="1"/>
      <c r="C571" s="1"/>
    </row>
    <row r="572" spans="1:7" x14ac:dyDescent="0.3">
      <c r="A572" s="5" t="s">
        <v>66</v>
      </c>
      <c r="B572" s="14">
        <f>+G570</f>
        <v>9.845510264550264E-2</v>
      </c>
      <c r="C572" t="s">
        <v>15</v>
      </c>
    </row>
    <row r="573" spans="1:7" x14ac:dyDescent="0.3">
      <c r="A573" s="5" t="s">
        <v>56</v>
      </c>
      <c r="B573" s="7">
        <v>0.01</v>
      </c>
      <c r="D573" s="1"/>
      <c r="E573" s="1"/>
    </row>
    <row r="574" spans="1:7" ht="18" x14ac:dyDescent="0.35">
      <c r="A574" s="21" t="s">
        <v>93</v>
      </c>
      <c r="B574" s="15">
        <f>180*PI()/180</f>
        <v>3.1415926535897931</v>
      </c>
      <c r="C574" t="s">
        <v>58</v>
      </c>
    </row>
    <row r="575" spans="1:7" x14ac:dyDescent="0.3">
      <c r="A575" s="5" t="s">
        <v>38</v>
      </c>
      <c r="B575" s="7">
        <v>0.01</v>
      </c>
      <c r="C575" t="s">
        <v>50</v>
      </c>
    </row>
    <row r="576" spans="1:7" x14ac:dyDescent="0.3">
      <c r="A576" s="23" t="s">
        <v>57</v>
      </c>
      <c r="B576" s="22">
        <v>14</v>
      </c>
      <c r="C576" t="s">
        <v>65</v>
      </c>
      <c r="G576" s="13"/>
    </row>
    <row r="578" spans="1:7" x14ac:dyDescent="0.3">
      <c r="A578" s="8" t="s">
        <v>57</v>
      </c>
      <c r="B578" s="2" t="s">
        <v>38</v>
      </c>
      <c r="C578" s="5" t="s">
        <v>39</v>
      </c>
      <c r="D578" s="5" t="s">
        <v>40</v>
      </c>
      <c r="E578" s="5" t="s">
        <v>41</v>
      </c>
      <c r="F578" s="8" t="s">
        <v>99</v>
      </c>
      <c r="G578" s="8" t="s">
        <v>96</v>
      </c>
    </row>
    <row r="579" spans="1:7" x14ac:dyDescent="0.3">
      <c r="A579" s="9">
        <f>+B576*0.0254</f>
        <v>0.35559999999999997</v>
      </c>
      <c r="B579" s="2">
        <f>+B575</f>
        <v>0.01</v>
      </c>
      <c r="C579" s="4">
        <f>+((B574-SIN(B574))*(A579)^2)/8</f>
        <v>4.9657332951554771E-2</v>
      </c>
      <c r="D579" s="2">
        <f>+B574*A579/2</f>
        <v>0.55857517380826516</v>
      </c>
      <c r="E579" s="2">
        <f>(1-SIN(B574)/B574)*(A579)/4</f>
        <v>8.8899999999999993E-2</v>
      </c>
      <c r="F579" s="9">
        <f>C579*(E579^(2/3))*(B579^(1/2))/B573</f>
        <v>9.8912511891011676E-2</v>
      </c>
      <c r="G579" s="20">
        <f>+B572/C579</f>
        <v>1.982690104230014</v>
      </c>
    </row>
    <row r="581" spans="1:7" x14ac:dyDescent="0.3">
      <c r="C581" s="1" t="s">
        <v>100</v>
      </c>
      <c r="D581" s="1"/>
      <c r="F581" s="1" t="str">
        <f>+IF(B572&lt;F579,"CUMPLE","NO CUMPLE")</f>
        <v>CUMPLE</v>
      </c>
      <c r="G581" s="1"/>
    </row>
    <row r="582" spans="1:7" x14ac:dyDescent="0.3">
      <c r="C582" s="1" t="s">
        <v>98</v>
      </c>
      <c r="D582" s="1"/>
      <c r="F582" s="1" t="str">
        <f>+IF(G579&lt;5,"CUMPLE","Verificar Diametro")</f>
        <v>CUMPLE</v>
      </c>
    </row>
    <row r="583" spans="1:7" x14ac:dyDescent="0.3">
      <c r="C583" s="1" t="s">
        <v>69</v>
      </c>
      <c r="D583" s="1"/>
    </row>
    <row r="584" spans="1:7" x14ac:dyDescent="0.3">
      <c r="D584" s="27" t="s">
        <v>59</v>
      </c>
      <c r="E584" s="27">
        <f>IF(B572&lt;F579,A579/0.0254,"Modificar Diametro")</f>
        <v>14</v>
      </c>
      <c r="F584" s="27" t="s">
        <v>65</v>
      </c>
    </row>
  </sheetData>
  <mergeCells count="21">
    <mergeCell ref="B547:E547"/>
    <mergeCell ref="B568:E568"/>
    <mergeCell ref="B348:E348"/>
    <mergeCell ref="B369:E369"/>
    <mergeCell ref="B393:E393"/>
    <mergeCell ref="B437:E437"/>
    <mergeCell ref="B460:E460"/>
    <mergeCell ref="B102:E102"/>
    <mergeCell ref="B58:E58"/>
    <mergeCell ref="B123:E123"/>
    <mergeCell ref="B257:E257"/>
    <mergeCell ref="B4:C4"/>
    <mergeCell ref="B79:E79"/>
    <mergeCell ref="B146:E146"/>
    <mergeCell ref="B192:E192"/>
    <mergeCell ref="B214:E214"/>
    <mergeCell ref="B280:E280"/>
    <mergeCell ref="B302:E302"/>
    <mergeCell ref="B504:E504"/>
    <mergeCell ref="B482:E482"/>
    <mergeCell ref="B237:E237"/>
  </mergeCells>
  <conditionalFormatting sqref="I53:I54">
    <cfRule type="cellIs" dxfId="381" priority="162" operator="lessThan">
      <formula>$I$53</formula>
    </cfRule>
  </conditionalFormatting>
  <conditionalFormatting sqref="I52">
    <cfRule type="cellIs" dxfId="380" priority="160" operator="lessThan">
      <formula>$I$53</formula>
    </cfRule>
  </conditionalFormatting>
  <conditionalFormatting sqref="I74:I75">
    <cfRule type="cellIs" dxfId="379" priority="158" operator="lessThan">
      <formula>$I$53</formula>
    </cfRule>
  </conditionalFormatting>
  <conditionalFormatting sqref="I73">
    <cfRule type="cellIs" dxfId="378" priority="156" operator="lessThan">
      <formula>$I$53</formula>
    </cfRule>
  </conditionalFormatting>
  <conditionalFormatting sqref="I97:I98">
    <cfRule type="cellIs" dxfId="377" priority="154" operator="lessThan">
      <formula>$I$53</formula>
    </cfRule>
  </conditionalFormatting>
  <conditionalFormatting sqref="I96">
    <cfRule type="cellIs" dxfId="376" priority="152" operator="lessThan">
      <formula>$I$53</formula>
    </cfRule>
  </conditionalFormatting>
  <conditionalFormatting sqref="I141:I142">
    <cfRule type="cellIs" dxfId="375" priority="150" operator="lessThan">
      <formula>$I$53</formula>
    </cfRule>
  </conditionalFormatting>
  <conditionalFormatting sqref="I140">
    <cfRule type="cellIs" dxfId="374" priority="148" operator="lessThan">
      <formula>$I$53</formula>
    </cfRule>
  </conditionalFormatting>
  <conditionalFormatting sqref="I164:I165">
    <cfRule type="cellIs" dxfId="373" priority="146" operator="lessThan">
      <formula>$I$53</formula>
    </cfRule>
  </conditionalFormatting>
  <conditionalFormatting sqref="I163">
    <cfRule type="cellIs" dxfId="372" priority="144" operator="lessThan">
      <formula>$I$53</formula>
    </cfRule>
  </conditionalFormatting>
  <conditionalFormatting sqref="I187:I188">
    <cfRule type="cellIs" dxfId="371" priority="142" operator="lessThan">
      <formula>$I$53</formula>
    </cfRule>
  </conditionalFormatting>
  <conditionalFormatting sqref="I186">
    <cfRule type="cellIs" dxfId="370" priority="140" operator="lessThan">
      <formula>$I$53</formula>
    </cfRule>
  </conditionalFormatting>
  <conditionalFormatting sqref="I232:I233">
    <cfRule type="cellIs" dxfId="369" priority="138" operator="lessThan">
      <formula>$I$53</formula>
    </cfRule>
  </conditionalFormatting>
  <conditionalFormatting sqref="I231">
    <cfRule type="cellIs" dxfId="368" priority="136" operator="lessThan">
      <formula>$I$53</formula>
    </cfRule>
  </conditionalFormatting>
  <conditionalFormatting sqref="F115">
    <cfRule type="cellIs" dxfId="367" priority="118" operator="lessThan">
      <formula>$I$53</formula>
    </cfRule>
  </conditionalFormatting>
  <conditionalFormatting sqref="F116">
    <cfRule type="cellIs" dxfId="366" priority="116" operator="lessThan">
      <formula>$I$53</formula>
    </cfRule>
  </conditionalFormatting>
  <conditionalFormatting sqref="F206">
    <cfRule type="cellIs" dxfId="365" priority="114" operator="lessThan">
      <formula>$I$53</formula>
    </cfRule>
  </conditionalFormatting>
  <conditionalFormatting sqref="F207">
    <cfRule type="cellIs" dxfId="364" priority="112" operator="lessThan">
      <formula>$I$53</formula>
    </cfRule>
  </conditionalFormatting>
  <conditionalFormatting sqref="I543:I544">
    <cfRule type="cellIs" dxfId="363" priority="70" operator="lessThan">
      <formula>#REF!</formula>
    </cfRule>
  </conditionalFormatting>
  <conditionalFormatting sqref="I275:I276">
    <cfRule type="cellIs" dxfId="362" priority="68" operator="lessThan">
      <formula>$I$53</formula>
    </cfRule>
  </conditionalFormatting>
  <conditionalFormatting sqref="I274">
    <cfRule type="cellIs" dxfId="361" priority="66" operator="lessThan">
      <formula>$I$53</formula>
    </cfRule>
  </conditionalFormatting>
  <conditionalFormatting sqref="I320:I321">
    <cfRule type="cellIs" dxfId="360" priority="64" operator="lessThan">
      <formula>$I$53</formula>
    </cfRule>
  </conditionalFormatting>
  <conditionalFormatting sqref="I319">
    <cfRule type="cellIs" dxfId="359" priority="62" operator="lessThan">
      <formula>$I$53</formula>
    </cfRule>
  </conditionalFormatting>
  <conditionalFormatting sqref="I343:I344">
    <cfRule type="cellIs" dxfId="358" priority="60" operator="lessThan">
      <formula>$I$53</formula>
    </cfRule>
  </conditionalFormatting>
  <conditionalFormatting sqref="I342">
    <cfRule type="cellIs" dxfId="357" priority="58" operator="lessThan">
      <formula>$I$53</formula>
    </cfRule>
  </conditionalFormatting>
  <conditionalFormatting sqref="I455:I456">
    <cfRule type="cellIs" dxfId="356" priority="56" operator="lessThan">
      <formula>$I$53</formula>
    </cfRule>
  </conditionalFormatting>
  <conditionalFormatting sqref="I454">
    <cfRule type="cellIs" dxfId="355" priority="54" operator="lessThan">
      <formula>$I$53</formula>
    </cfRule>
  </conditionalFormatting>
  <conditionalFormatting sqref="I542">
    <cfRule type="cellIs" dxfId="354" priority="52" operator="lessThan">
      <formula>$I$53</formula>
    </cfRule>
  </conditionalFormatting>
  <conditionalFormatting sqref="I541">
    <cfRule type="cellIs" dxfId="353" priority="50" operator="lessThan">
      <formula>$I$53</formula>
    </cfRule>
  </conditionalFormatting>
  <conditionalFormatting sqref="F294">
    <cfRule type="cellIs" dxfId="352" priority="48" operator="lessThan">
      <formula>$I$53</formula>
    </cfRule>
  </conditionalFormatting>
  <conditionalFormatting sqref="F295">
    <cfRule type="cellIs" dxfId="351" priority="46" operator="lessThan">
      <formula>$I$53</formula>
    </cfRule>
  </conditionalFormatting>
  <conditionalFormatting sqref="F361">
    <cfRule type="cellIs" dxfId="350" priority="44" operator="lessThan">
      <formula>$I$53</formula>
    </cfRule>
  </conditionalFormatting>
  <conditionalFormatting sqref="F362">
    <cfRule type="cellIs" dxfId="349" priority="42" operator="lessThan">
      <formula>$I$53</formula>
    </cfRule>
  </conditionalFormatting>
  <conditionalFormatting sqref="F385">
    <cfRule type="cellIs" dxfId="348" priority="40" operator="lessThan">
      <formula>$I$53</formula>
    </cfRule>
  </conditionalFormatting>
  <conditionalFormatting sqref="F386">
    <cfRule type="cellIs" dxfId="347" priority="38" operator="lessThan">
      <formula>$I$53</formula>
    </cfRule>
  </conditionalFormatting>
  <conditionalFormatting sqref="F407">
    <cfRule type="cellIs" dxfId="346" priority="36" operator="lessThan">
      <formula>$I$53</formula>
    </cfRule>
  </conditionalFormatting>
  <conditionalFormatting sqref="F408">
    <cfRule type="cellIs" dxfId="345" priority="34" operator="lessThan">
      <formula>$I$53</formula>
    </cfRule>
  </conditionalFormatting>
  <conditionalFormatting sqref="F474">
    <cfRule type="cellIs" dxfId="344" priority="32" operator="lessThan">
      <formula>$I$53</formula>
    </cfRule>
  </conditionalFormatting>
  <conditionalFormatting sqref="F475">
    <cfRule type="cellIs" dxfId="343" priority="30" operator="lessThan">
      <formula>$I$53</formula>
    </cfRule>
  </conditionalFormatting>
  <conditionalFormatting sqref="F496">
    <cfRule type="cellIs" dxfId="342" priority="28" operator="lessThan">
      <formula>$I$53</formula>
    </cfRule>
  </conditionalFormatting>
  <conditionalFormatting sqref="F497">
    <cfRule type="cellIs" dxfId="341" priority="26" operator="lessThan">
      <formula>$I$53</formula>
    </cfRule>
  </conditionalFormatting>
  <conditionalFormatting sqref="F517">
    <cfRule type="cellIs" dxfId="340" priority="24" operator="lessThan">
      <formula>$I$53</formula>
    </cfRule>
  </conditionalFormatting>
  <conditionalFormatting sqref="F518">
    <cfRule type="cellIs" dxfId="339" priority="22" operator="lessThan">
      <formula>$I$53</formula>
    </cfRule>
  </conditionalFormatting>
  <conditionalFormatting sqref="F560">
    <cfRule type="cellIs" dxfId="338" priority="20" operator="lessThan">
      <formula>$I$53</formula>
    </cfRule>
  </conditionalFormatting>
  <conditionalFormatting sqref="F561">
    <cfRule type="cellIs" dxfId="337" priority="18" operator="lessThan">
      <formula>$I$53</formula>
    </cfRule>
  </conditionalFormatting>
  <conditionalFormatting sqref="F581">
    <cfRule type="cellIs" dxfId="336" priority="16" operator="lessThan">
      <formula>$I$53</formula>
    </cfRule>
  </conditionalFormatting>
  <conditionalFormatting sqref="F582">
    <cfRule type="cellIs" dxfId="335" priority="14" operator="lessThan">
      <formula>$I$53</formula>
    </cfRule>
  </conditionalFormatting>
  <conditionalFormatting sqref="F250">
    <cfRule type="cellIs" dxfId="334" priority="8" operator="lessThan">
      <formula>$I$294</formula>
    </cfRule>
  </conditionalFormatting>
  <conditionalFormatting sqref="F251">
    <cfRule type="cellIs" dxfId="333" priority="6" operator="lessThan">
      <formula>$I$294</formula>
    </cfRule>
  </conditionalFormatting>
  <conditionalFormatting sqref="F429">
    <cfRule type="cellIs" dxfId="332" priority="4" operator="lessThan">
      <formula>$I$53</formula>
    </cfRule>
  </conditionalFormatting>
  <conditionalFormatting sqref="F430">
    <cfRule type="cellIs" dxfId="331" priority="2" operator="lessThan">
      <formula>$I$53</formula>
    </cfRule>
  </conditionalFormatting>
  <pageMargins left="0.7" right="0.7" top="0.75" bottom="0.75" header="0.3" footer="0.3"/>
  <pageSetup paperSize="9" orientation="portrait" horizontalDpi="0" verticalDpi="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61" operator="containsText" id="{5AB0F5D9-E4D2-4821-AB7D-E9B42C6FAC2E}">
            <xm:f>NOT(ISERROR(SEARCH($I$53,I53)))</xm:f>
            <xm:f>$I$53</xm:f>
            <x14:dxf>
              <fill>
                <patternFill>
                  <bgColor rgb="FF00B0F0"/>
                </patternFill>
              </fill>
            </x14:dxf>
          </x14:cfRule>
          <xm:sqref>I53:I54</xm:sqref>
        </x14:conditionalFormatting>
        <x14:conditionalFormatting xmlns:xm="http://schemas.microsoft.com/office/excel/2006/main">
          <x14:cfRule type="containsText" priority="159" operator="containsText" id="{82F755CB-C8CD-4494-A506-4E4D64953391}">
            <xm:f>NOT(ISERROR(SEARCH($I$53,I52)))</xm:f>
            <xm:f>$I$53</xm:f>
            <x14:dxf>
              <fill>
                <patternFill>
                  <bgColor rgb="FF00B0F0"/>
                </patternFill>
              </fill>
            </x14:dxf>
          </x14:cfRule>
          <xm:sqref>I52</xm:sqref>
        </x14:conditionalFormatting>
        <x14:conditionalFormatting xmlns:xm="http://schemas.microsoft.com/office/excel/2006/main">
          <x14:cfRule type="containsText" priority="157" operator="containsText" id="{D77397BF-7D50-4F08-96B3-79262E8AC8E0}">
            <xm:f>NOT(ISERROR(SEARCH($I$53,I74)))</xm:f>
            <xm:f>$I$53</xm:f>
            <x14:dxf>
              <fill>
                <patternFill>
                  <bgColor rgb="FF00B0F0"/>
                </patternFill>
              </fill>
            </x14:dxf>
          </x14:cfRule>
          <xm:sqref>I74:I75</xm:sqref>
        </x14:conditionalFormatting>
        <x14:conditionalFormatting xmlns:xm="http://schemas.microsoft.com/office/excel/2006/main">
          <x14:cfRule type="containsText" priority="155" operator="containsText" id="{1DB38D56-A8B1-42B8-9B9E-D55E151D2334}">
            <xm:f>NOT(ISERROR(SEARCH($I$53,I73)))</xm:f>
            <xm:f>$I$53</xm:f>
            <x14:dxf>
              <fill>
                <patternFill>
                  <bgColor rgb="FF00B0F0"/>
                </patternFill>
              </fill>
            </x14:dxf>
          </x14:cfRule>
          <xm:sqref>I73</xm:sqref>
        </x14:conditionalFormatting>
        <x14:conditionalFormatting xmlns:xm="http://schemas.microsoft.com/office/excel/2006/main">
          <x14:cfRule type="containsText" priority="153" operator="containsText" id="{48C1E7C6-D4AD-4852-AE69-4B096D195BDF}">
            <xm:f>NOT(ISERROR(SEARCH($I$53,I97)))</xm:f>
            <xm:f>$I$53</xm:f>
            <x14:dxf>
              <fill>
                <patternFill>
                  <bgColor rgb="FF00B0F0"/>
                </patternFill>
              </fill>
            </x14:dxf>
          </x14:cfRule>
          <xm:sqref>I97:I98</xm:sqref>
        </x14:conditionalFormatting>
        <x14:conditionalFormatting xmlns:xm="http://schemas.microsoft.com/office/excel/2006/main">
          <x14:cfRule type="containsText" priority="151" operator="containsText" id="{5FCBD003-CDFC-423A-B27C-961595A4D5A8}">
            <xm:f>NOT(ISERROR(SEARCH($I$53,I96)))</xm:f>
            <xm:f>$I$53</xm:f>
            <x14:dxf>
              <fill>
                <patternFill>
                  <bgColor rgb="FF00B0F0"/>
                </patternFill>
              </fill>
            </x14:dxf>
          </x14:cfRule>
          <xm:sqref>I96</xm:sqref>
        </x14:conditionalFormatting>
        <x14:conditionalFormatting xmlns:xm="http://schemas.microsoft.com/office/excel/2006/main">
          <x14:cfRule type="containsText" priority="149" operator="containsText" id="{EB10C94B-959C-464A-B458-F407BF93715F}">
            <xm:f>NOT(ISERROR(SEARCH($I$53,I141)))</xm:f>
            <xm:f>$I$53</xm:f>
            <x14:dxf>
              <fill>
                <patternFill>
                  <bgColor rgb="FF00B0F0"/>
                </patternFill>
              </fill>
            </x14:dxf>
          </x14:cfRule>
          <xm:sqref>I141:I142</xm:sqref>
        </x14:conditionalFormatting>
        <x14:conditionalFormatting xmlns:xm="http://schemas.microsoft.com/office/excel/2006/main">
          <x14:cfRule type="containsText" priority="147" operator="containsText" id="{3A4A862E-0ADE-4AC6-8A02-412274386890}">
            <xm:f>NOT(ISERROR(SEARCH($I$53,I140)))</xm:f>
            <xm:f>$I$53</xm:f>
            <x14:dxf>
              <fill>
                <patternFill>
                  <bgColor rgb="FF00B0F0"/>
                </patternFill>
              </fill>
            </x14:dxf>
          </x14:cfRule>
          <xm:sqref>I140</xm:sqref>
        </x14:conditionalFormatting>
        <x14:conditionalFormatting xmlns:xm="http://schemas.microsoft.com/office/excel/2006/main">
          <x14:cfRule type="containsText" priority="145" operator="containsText" id="{537A612D-54CD-4F85-97A1-3BBA648A0B74}">
            <xm:f>NOT(ISERROR(SEARCH($I$53,I164)))</xm:f>
            <xm:f>$I$53</xm:f>
            <x14:dxf>
              <fill>
                <patternFill>
                  <bgColor rgb="FF00B0F0"/>
                </patternFill>
              </fill>
            </x14:dxf>
          </x14:cfRule>
          <xm:sqref>I164:I165</xm:sqref>
        </x14:conditionalFormatting>
        <x14:conditionalFormatting xmlns:xm="http://schemas.microsoft.com/office/excel/2006/main">
          <x14:cfRule type="containsText" priority="143" operator="containsText" id="{A5517D2F-5B70-49E5-97F3-A121964B3D0C}">
            <xm:f>NOT(ISERROR(SEARCH($I$53,I163)))</xm:f>
            <xm:f>$I$53</xm:f>
            <x14:dxf>
              <fill>
                <patternFill>
                  <bgColor rgb="FF00B0F0"/>
                </patternFill>
              </fill>
            </x14:dxf>
          </x14:cfRule>
          <xm:sqref>I163</xm:sqref>
        </x14:conditionalFormatting>
        <x14:conditionalFormatting xmlns:xm="http://schemas.microsoft.com/office/excel/2006/main">
          <x14:cfRule type="containsText" priority="141" operator="containsText" id="{9FC8E5F0-E1BA-472E-A1BE-A18544761EA4}">
            <xm:f>NOT(ISERROR(SEARCH($I$53,I187)))</xm:f>
            <xm:f>$I$53</xm:f>
            <x14:dxf>
              <fill>
                <patternFill>
                  <bgColor rgb="FF00B0F0"/>
                </patternFill>
              </fill>
            </x14:dxf>
          </x14:cfRule>
          <xm:sqref>I187:I188</xm:sqref>
        </x14:conditionalFormatting>
        <x14:conditionalFormatting xmlns:xm="http://schemas.microsoft.com/office/excel/2006/main">
          <x14:cfRule type="containsText" priority="139" operator="containsText" id="{DA22D0E3-F284-47DA-8AD0-8AD9620043E8}">
            <xm:f>NOT(ISERROR(SEARCH($I$53,I186)))</xm:f>
            <xm:f>$I$53</xm:f>
            <x14:dxf>
              <fill>
                <patternFill>
                  <bgColor rgb="FF00B0F0"/>
                </patternFill>
              </fill>
            </x14:dxf>
          </x14:cfRule>
          <xm:sqref>I186</xm:sqref>
        </x14:conditionalFormatting>
        <x14:conditionalFormatting xmlns:xm="http://schemas.microsoft.com/office/excel/2006/main">
          <x14:cfRule type="containsText" priority="137" operator="containsText" id="{8E3AE3BD-406B-4A29-AEA6-DBF1855FE0ED}">
            <xm:f>NOT(ISERROR(SEARCH($I$53,I232)))</xm:f>
            <xm:f>$I$53</xm:f>
            <x14:dxf>
              <fill>
                <patternFill>
                  <bgColor rgb="FF00B0F0"/>
                </patternFill>
              </fill>
            </x14:dxf>
          </x14:cfRule>
          <xm:sqref>I232:I233</xm:sqref>
        </x14:conditionalFormatting>
        <x14:conditionalFormatting xmlns:xm="http://schemas.microsoft.com/office/excel/2006/main">
          <x14:cfRule type="containsText" priority="135" operator="containsText" id="{0B968EA8-885E-4897-90F4-FDBE5CB08F49}">
            <xm:f>NOT(ISERROR(SEARCH($I$53,I231)))</xm:f>
            <xm:f>$I$53</xm:f>
            <x14:dxf>
              <fill>
                <patternFill>
                  <bgColor rgb="FF00B0F0"/>
                </patternFill>
              </fill>
            </x14:dxf>
          </x14:cfRule>
          <xm:sqref>I231</xm:sqref>
        </x14:conditionalFormatting>
        <x14:conditionalFormatting xmlns:xm="http://schemas.microsoft.com/office/excel/2006/main">
          <x14:cfRule type="containsText" priority="115" operator="containsText" id="{1EF0B35E-2082-45D5-BBDE-462DB2E5AE00}">
            <xm:f>NOT(ISERROR(SEARCH($I$53,F116)))</xm:f>
            <xm:f>$I$53</xm:f>
            <x14:dxf>
              <fill>
                <patternFill>
                  <bgColor rgb="FF00B0F0"/>
                </patternFill>
              </fill>
            </x14:dxf>
          </x14:cfRule>
          <xm:sqref>F116</xm:sqref>
        </x14:conditionalFormatting>
        <x14:conditionalFormatting xmlns:xm="http://schemas.microsoft.com/office/excel/2006/main">
          <x14:cfRule type="containsText" priority="117" operator="containsText" id="{544AE686-050F-4AA4-854E-430217E8B416}">
            <xm:f>NOT(ISERROR(SEARCH($I$53,F115)))</xm:f>
            <xm:f>$I$53</xm:f>
            <x14:dxf>
              <fill>
                <patternFill>
                  <bgColor rgb="FF00B0F0"/>
                </patternFill>
              </fill>
            </x14:dxf>
          </x14:cfRule>
          <xm:sqref>F115</xm:sqref>
        </x14:conditionalFormatting>
        <x14:conditionalFormatting xmlns:xm="http://schemas.microsoft.com/office/excel/2006/main">
          <x14:cfRule type="containsText" priority="111" operator="containsText" id="{21D8EF34-90C1-4E22-AC9B-A3997E99BF41}">
            <xm:f>NOT(ISERROR(SEARCH($I$53,F207)))</xm:f>
            <xm:f>$I$53</xm:f>
            <x14:dxf>
              <fill>
                <patternFill>
                  <bgColor rgb="FF00B0F0"/>
                </patternFill>
              </fill>
            </x14:dxf>
          </x14:cfRule>
          <xm:sqref>F207</xm:sqref>
        </x14:conditionalFormatting>
        <x14:conditionalFormatting xmlns:xm="http://schemas.microsoft.com/office/excel/2006/main">
          <x14:cfRule type="containsText" priority="113" operator="containsText" id="{41AF172F-60AD-4BFA-B112-CECAC7EB1355}">
            <xm:f>NOT(ISERROR(SEARCH($I$53,F206)))</xm:f>
            <xm:f>$I$53</xm:f>
            <x14:dxf>
              <fill>
                <patternFill>
                  <bgColor rgb="FF00B0F0"/>
                </patternFill>
              </fill>
            </x14:dxf>
          </x14:cfRule>
          <xm:sqref>F206</xm:sqref>
        </x14:conditionalFormatting>
        <x14:conditionalFormatting xmlns:xm="http://schemas.microsoft.com/office/excel/2006/main">
          <x14:cfRule type="containsText" priority="69" operator="containsText" id="{68C13D0A-3F8D-4D14-8428-896B747B5B8E}">
            <xm:f>NOT(ISERROR(SEARCH(#REF!,I543)))</xm:f>
            <xm:f>#REF!</xm:f>
            <x14:dxf>
              <fill>
                <patternFill>
                  <bgColor rgb="FF00B0F0"/>
                </patternFill>
              </fill>
            </x14:dxf>
          </x14:cfRule>
          <xm:sqref>I543:I544</xm:sqref>
        </x14:conditionalFormatting>
        <x14:conditionalFormatting xmlns:xm="http://schemas.microsoft.com/office/excel/2006/main">
          <x14:cfRule type="containsText" priority="67" operator="containsText" id="{6A23F190-D262-4658-95F8-49274C3582E0}">
            <xm:f>NOT(ISERROR(SEARCH($I$53,I275)))</xm:f>
            <xm:f>$I$53</xm:f>
            <x14:dxf>
              <fill>
                <patternFill>
                  <bgColor rgb="FF00B0F0"/>
                </patternFill>
              </fill>
            </x14:dxf>
          </x14:cfRule>
          <xm:sqref>I275:I276</xm:sqref>
        </x14:conditionalFormatting>
        <x14:conditionalFormatting xmlns:xm="http://schemas.microsoft.com/office/excel/2006/main">
          <x14:cfRule type="containsText" priority="65" operator="containsText" id="{162CBCFA-DA82-4E5E-8BA9-9ECA743E741F}">
            <xm:f>NOT(ISERROR(SEARCH($I$53,I274)))</xm:f>
            <xm:f>$I$53</xm:f>
            <x14:dxf>
              <fill>
                <patternFill>
                  <bgColor rgb="FF00B0F0"/>
                </patternFill>
              </fill>
            </x14:dxf>
          </x14:cfRule>
          <xm:sqref>I274</xm:sqref>
        </x14:conditionalFormatting>
        <x14:conditionalFormatting xmlns:xm="http://schemas.microsoft.com/office/excel/2006/main">
          <x14:cfRule type="containsText" priority="63" operator="containsText" id="{F7E48781-8302-45A7-AA06-CB68095727BB}">
            <xm:f>NOT(ISERROR(SEARCH($I$53,I320)))</xm:f>
            <xm:f>$I$53</xm:f>
            <x14:dxf>
              <fill>
                <patternFill>
                  <bgColor rgb="FF00B0F0"/>
                </patternFill>
              </fill>
            </x14:dxf>
          </x14:cfRule>
          <xm:sqref>I320:I321</xm:sqref>
        </x14:conditionalFormatting>
        <x14:conditionalFormatting xmlns:xm="http://schemas.microsoft.com/office/excel/2006/main">
          <x14:cfRule type="containsText" priority="61" operator="containsText" id="{6A86636E-499D-4231-B13B-26852C5F50C5}">
            <xm:f>NOT(ISERROR(SEARCH($I$53,I319)))</xm:f>
            <xm:f>$I$53</xm:f>
            <x14:dxf>
              <fill>
                <patternFill>
                  <bgColor rgb="FF00B0F0"/>
                </patternFill>
              </fill>
            </x14:dxf>
          </x14:cfRule>
          <xm:sqref>I319</xm:sqref>
        </x14:conditionalFormatting>
        <x14:conditionalFormatting xmlns:xm="http://schemas.microsoft.com/office/excel/2006/main">
          <x14:cfRule type="containsText" priority="59" operator="containsText" id="{34DDBC65-6F7E-483A-8E01-E7222B32A420}">
            <xm:f>NOT(ISERROR(SEARCH($I$53,I343)))</xm:f>
            <xm:f>$I$53</xm:f>
            <x14:dxf>
              <fill>
                <patternFill>
                  <bgColor rgb="FF00B0F0"/>
                </patternFill>
              </fill>
            </x14:dxf>
          </x14:cfRule>
          <xm:sqref>I343:I344</xm:sqref>
        </x14:conditionalFormatting>
        <x14:conditionalFormatting xmlns:xm="http://schemas.microsoft.com/office/excel/2006/main">
          <x14:cfRule type="containsText" priority="57" operator="containsText" id="{A296F484-D429-4261-8926-B5F72908C0DB}">
            <xm:f>NOT(ISERROR(SEARCH($I$53,I342)))</xm:f>
            <xm:f>$I$53</xm:f>
            <x14:dxf>
              <fill>
                <patternFill>
                  <bgColor rgb="FF00B0F0"/>
                </patternFill>
              </fill>
            </x14:dxf>
          </x14:cfRule>
          <xm:sqref>I342</xm:sqref>
        </x14:conditionalFormatting>
        <x14:conditionalFormatting xmlns:xm="http://schemas.microsoft.com/office/excel/2006/main">
          <x14:cfRule type="containsText" priority="55" operator="containsText" id="{8E2C8F05-E091-458B-A69B-BC974C540A05}">
            <xm:f>NOT(ISERROR(SEARCH($I$53,I455)))</xm:f>
            <xm:f>$I$53</xm:f>
            <x14:dxf>
              <fill>
                <patternFill>
                  <bgColor rgb="FF00B0F0"/>
                </patternFill>
              </fill>
            </x14:dxf>
          </x14:cfRule>
          <xm:sqref>I455:I456</xm:sqref>
        </x14:conditionalFormatting>
        <x14:conditionalFormatting xmlns:xm="http://schemas.microsoft.com/office/excel/2006/main">
          <x14:cfRule type="containsText" priority="53" operator="containsText" id="{78570345-CC0C-4E83-ABB3-06EB1AECC33B}">
            <xm:f>NOT(ISERROR(SEARCH($I$53,I454)))</xm:f>
            <xm:f>$I$53</xm:f>
            <x14:dxf>
              <fill>
                <patternFill>
                  <bgColor rgb="FF00B0F0"/>
                </patternFill>
              </fill>
            </x14:dxf>
          </x14:cfRule>
          <xm:sqref>I454</xm:sqref>
        </x14:conditionalFormatting>
        <x14:conditionalFormatting xmlns:xm="http://schemas.microsoft.com/office/excel/2006/main">
          <x14:cfRule type="containsText" priority="49" operator="containsText" id="{93F18563-BF07-4EF0-9833-363B91934ECE}">
            <xm:f>NOT(ISERROR(SEARCH($I$53,I541)))</xm:f>
            <xm:f>$I$53</xm:f>
            <x14:dxf>
              <fill>
                <patternFill>
                  <bgColor rgb="FF00B0F0"/>
                </patternFill>
              </fill>
            </x14:dxf>
          </x14:cfRule>
          <xm:sqref>I541</xm:sqref>
        </x14:conditionalFormatting>
        <x14:conditionalFormatting xmlns:xm="http://schemas.microsoft.com/office/excel/2006/main">
          <x14:cfRule type="containsText" priority="51" operator="containsText" id="{00E7689F-AC0D-42B4-BBE3-208EAAB0167B}">
            <xm:f>NOT(ISERROR(SEARCH($I$53,I542)))</xm:f>
            <xm:f>$I$53</xm:f>
            <x14:dxf>
              <fill>
                <patternFill>
                  <bgColor rgb="FF00B0F0"/>
                </patternFill>
              </fill>
            </x14:dxf>
          </x14:cfRule>
          <xm:sqref>I542</xm:sqref>
        </x14:conditionalFormatting>
        <x14:conditionalFormatting xmlns:xm="http://schemas.microsoft.com/office/excel/2006/main">
          <x14:cfRule type="containsText" priority="33" operator="containsText" id="{FC394542-4F70-4EBF-9B85-2E6A195F1D74}">
            <xm:f>NOT(ISERROR(SEARCH($I$53,F408)))</xm:f>
            <xm:f>$I$53</xm:f>
            <x14:dxf>
              <fill>
                <patternFill>
                  <bgColor rgb="FF00B0F0"/>
                </patternFill>
              </fill>
            </x14:dxf>
          </x14:cfRule>
          <xm:sqref>F408</xm:sqref>
        </x14:conditionalFormatting>
        <x14:conditionalFormatting xmlns:xm="http://schemas.microsoft.com/office/excel/2006/main">
          <x14:cfRule type="containsText" priority="29" operator="containsText" id="{B0F3A0E9-277F-41EE-9F56-D0EE74731705}">
            <xm:f>NOT(ISERROR(SEARCH($I$53,F475)))</xm:f>
            <xm:f>$I$53</xm:f>
            <x14:dxf>
              <fill>
                <patternFill>
                  <bgColor rgb="FF00B0F0"/>
                </patternFill>
              </fill>
            </x14:dxf>
          </x14:cfRule>
          <xm:sqref>F475</xm:sqref>
        </x14:conditionalFormatting>
        <x14:conditionalFormatting xmlns:xm="http://schemas.microsoft.com/office/excel/2006/main">
          <x14:cfRule type="containsText" priority="45" operator="containsText" id="{520E8AB7-1AE1-465F-8988-C286D24C034F}">
            <xm:f>NOT(ISERROR(SEARCH($I$53,F295)))</xm:f>
            <xm:f>$I$53</xm:f>
            <x14:dxf>
              <fill>
                <patternFill>
                  <bgColor rgb="FF00B0F0"/>
                </patternFill>
              </fill>
            </x14:dxf>
          </x14:cfRule>
          <xm:sqref>F295</xm:sqref>
        </x14:conditionalFormatting>
        <x14:conditionalFormatting xmlns:xm="http://schemas.microsoft.com/office/excel/2006/main">
          <x14:cfRule type="containsText" priority="47" operator="containsText" id="{45B40129-DE8E-4C2D-BDA3-B43ED1F41F23}">
            <xm:f>NOT(ISERROR(SEARCH($I$53,F294)))</xm:f>
            <xm:f>$I$53</xm:f>
            <x14:dxf>
              <fill>
                <patternFill>
                  <bgColor rgb="FF00B0F0"/>
                </patternFill>
              </fill>
            </x14:dxf>
          </x14:cfRule>
          <xm:sqref>F294</xm:sqref>
        </x14:conditionalFormatting>
        <x14:conditionalFormatting xmlns:xm="http://schemas.microsoft.com/office/excel/2006/main">
          <x14:cfRule type="containsText" priority="41" operator="containsText" id="{4BF5FA83-D39E-4BED-B8B5-9AC4FE579076}">
            <xm:f>NOT(ISERROR(SEARCH($I$53,F362)))</xm:f>
            <xm:f>$I$53</xm:f>
            <x14:dxf>
              <fill>
                <patternFill>
                  <bgColor rgb="FF00B0F0"/>
                </patternFill>
              </fill>
            </x14:dxf>
          </x14:cfRule>
          <xm:sqref>F362</xm:sqref>
        </x14:conditionalFormatting>
        <x14:conditionalFormatting xmlns:xm="http://schemas.microsoft.com/office/excel/2006/main">
          <x14:cfRule type="containsText" priority="43" operator="containsText" id="{9B5648CD-985F-459F-8F20-E3B9A319CE6E}">
            <xm:f>NOT(ISERROR(SEARCH($I$53,F361)))</xm:f>
            <xm:f>$I$53</xm:f>
            <x14:dxf>
              <fill>
                <patternFill>
                  <bgColor rgb="FF00B0F0"/>
                </patternFill>
              </fill>
            </x14:dxf>
          </x14:cfRule>
          <xm:sqref>F361</xm:sqref>
        </x14:conditionalFormatting>
        <x14:conditionalFormatting xmlns:xm="http://schemas.microsoft.com/office/excel/2006/main">
          <x14:cfRule type="containsText" priority="37" operator="containsText" id="{8F9829C9-B574-46D7-9B37-3839E5150DE7}">
            <xm:f>NOT(ISERROR(SEARCH($I$53,F386)))</xm:f>
            <xm:f>$I$53</xm:f>
            <x14:dxf>
              <fill>
                <patternFill>
                  <bgColor rgb="FF00B0F0"/>
                </patternFill>
              </fill>
            </x14:dxf>
          </x14:cfRule>
          <xm:sqref>F386</xm:sqref>
        </x14:conditionalFormatting>
        <x14:conditionalFormatting xmlns:xm="http://schemas.microsoft.com/office/excel/2006/main">
          <x14:cfRule type="containsText" priority="39" operator="containsText" id="{08F2D5EA-EE0D-43C8-A982-F1F300B7D25C}">
            <xm:f>NOT(ISERROR(SEARCH($I$53,F385)))</xm:f>
            <xm:f>$I$53</xm:f>
            <x14:dxf>
              <fill>
                <patternFill>
                  <bgColor rgb="FF00B0F0"/>
                </patternFill>
              </fill>
            </x14:dxf>
          </x14:cfRule>
          <xm:sqref>F385</xm:sqref>
        </x14:conditionalFormatting>
        <x14:conditionalFormatting xmlns:xm="http://schemas.microsoft.com/office/excel/2006/main">
          <x14:cfRule type="containsText" priority="25" operator="containsText" id="{289132F7-1F09-47FD-94AC-26B4FB1B91C2}">
            <xm:f>NOT(ISERROR(SEARCH($I$53,F497)))</xm:f>
            <xm:f>$I$53</xm:f>
            <x14:dxf>
              <fill>
                <patternFill>
                  <bgColor rgb="FF00B0F0"/>
                </patternFill>
              </fill>
            </x14:dxf>
          </x14:cfRule>
          <xm:sqref>F497</xm:sqref>
        </x14:conditionalFormatting>
        <x14:conditionalFormatting xmlns:xm="http://schemas.microsoft.com/office/excel/2006/main">
          <x14:cfRule type="containsText" priority="35" operator="containsText" id="{0DFE332E-3428-4B1B-B14B-14563A0F919C}">
            <xm:f>NOT(ISERROR(SEARCH($I$53,F407)))</xm:f>
            <xm:f>$I$53</xm:f>
            <x14:dxf>
              <fill>
                <patternFill>
                  <bgColor rgb="FF00B0F0"/>
                </patternFill>
              </fill>
            </x14:dxf>
          </x14:cfRule>
          <xm:sqref>F407</xm:sqref>
        </x14:conditionalFormatting>
        <x14:conditionalFormatting xmlns:xm="http://schemas.microsoft.com/office/excel/2006/main">
          <x14:cfRule type="containsText" priority="13" operator="containsText" id="{A6CF1A81-8179-49B4-BBF3-49CCB90B30A2}">
            <xm:f>NOT(ISERROR(SEARCH($I$53,F582)))</xm:f>
            <xm:f>$I$53</xm:f>
            <x14:dxf>
              <fill>
                <patternFill>
                  <bgColor rgb="FF00B0F0"/>
                </patternFill>
              </fill>
            </x14:dxf>
          </x14:cfRule>
          <xm:sqref>F582</xm:sqref>
        </x14:conditionalFormatting>
        <x14:conditionalFormatting xmlns:xm="http://schemas.microsoft.com/office/excel/2006/main">
          <x14:cfRule type="containsText" priority="31" operator="containsText" id="{0CE24F30-7520-4B65-AF26-366476D0F675}">
            <xm:f>NOT(ISERROR(SEARCH($I$53,F474)))</xm:f>
            <xm:f>$I$53</xm:f>
            <x14:dxf>
              <fill>
                <patternFill>
                  <bgColor rgb="FF00B0F0"/>
                </patternFill>
              </fill>
            </x14:dxf>
          </x14:cfRule>
          <xm:sqref>F474</xm:sqref>
        </x14:conditionalFormatting>
        <x14:conditionalFormatting xmlns:xm="http://schemas.microsoft.com/office/excel/2006/main">
          <x14:cfRule type="containsText" priority="27" operator="containsText" id="{2DC01F43-B37C-4528-8636-516C9CAB544C}">
            <xm:f>NOT(ISERROR(SEARCH($I$53,F496)))</xm:f>
            <xm:f>$I$53</xm:f>
            <x14:dxf>
              <fill>
                <patternFill>
                  <bgColor rgb="FF00B0F0"/>
                </patternFill>
              </fill>
            </x14:dxf>
          </x14:cfRule>
          <xm:sqref>F496</xm:sqref>
        </x14:conditionalFormatting>
        <x14:conditionalFormatting xmlns:xm="http://schemas.microsoft.com/office/excel/2006/main">
          <x14:cfRule type="containsText" priority="21" operator="containsText" id="{3E67FCBC-1C39-49B0-BAFA-69A17733A3EC}">
            <xm:f>NOT(ISERROR(SEARCH($I$53,F518)))</xm:f>
            <xm:f>$I$53</xm:f>
            <x14:dxf>
              <fill>
                <patternFill>
                  <bgColor rgb="FF00B0F0"/>
                </patternFill>
              </fill>
            </x14:dxf>
          </x14:cfRule>
          <xm:sqref>F518</xm:sqref>
        </x14:conditionalFormatting>
        <x14:conditionalFormatting xmlns:xm="http://schemas.microsoft.com/office/excel/2006/main">
          <x14:cfRule type="containsText" priority="23" operator="containsText" id="{18245028-4536-4CEE-9FFE-5848F69F5476}">
            <xm:f>NOT(ISERROR(SEARCH($I$53,F517)))</xm:f>
            <xm:f>$I$53</xm:f>
            <x14:dxf>
              <fill>
                <patternFill>
                  <bgColor rgb="FF00B0F0"/>
                </patternFill>
              </fill>
            </x14:dxf>
          </x14:cfRule>
          <xm:sqref>F517</xm:sqref>
        </x14:conditionalFormatting>
        <x14:conditionalFormatting xmlns:xm="http://schemas.microsoft.com/office/excel/2006/main">
          <x14:cfRule type="containsText" priority="17" operator="containsText" id="{6E6A4FA7-FE65-4B7F-885F-6449D45994A0}">
            <xm:f>NOT(ISERROR(SEARCH($I$53,F561)))</xm:f>
            <xm:f>$I$53</xm:f>
            <x14:dxf>
              <fill>
                <patternFill>
                  <bgColor rgb="FF00B0F0"/>
                </patternFill>
              </fill>
            </x14:dxf>
          </x14:cfRule>
          <xm:sqref>F561</xm:sqref>
        </x14:conditionalFormatting>
        <x14:conditionalFormatting xmlns:xm="http://schemas.microsoft.com/office/excel/2006/main">
          <x14:cfRule type="containsText" priority="19" operator="containsText" id="{4E21D786-0378-4452-8541-5075972FBB17}">
            <xm:f>NOT(ISERROR(SEARCH($I$53,F560)))</xm:f>
            <xm:f>$I$53</xm:f>
            <x14:dxf>
              <fill>
                <patternFill>
                  <bgColor rgb="FF00B0F0"/>
                </patternFill>
              </fill>
            </x14:dxf>
          </x14:cfRule>
          <xm:sqref>F560</xm:sqref>
        </x14:conditionalFormatting>
        <x14:conditionalFormatting xmlns:xm="http://schemas.microsoft.com/office/excel/2006/main">
          <x14:cfRule type="containsText" priority="15" operator="containsText" id="{08F642E7-80A8-44E7-926C-08584F3D25AB}">
            <xm:f>NOT(ISERROR(SEARCH($I$53,F581)))</xm:f>
            <xm:f>$I$53</xm:f>
            <x14:dxf>
              <fill>
                <patternFill>
                  <bgColor rgb="FF00B0F0"/>
                </patternFill>
              </fill>
            </x14:dxf>
          </x14:cfRule>
          <xm:sqref>F581</xm:sqref>
        </x14:conditionalFormatting>
        <x14:conditionalFormatting xmlns:xm="http://schemas.microsoft.com/office/excel/2006/main">
          <x14:cfRule type="containsText" priority="5" operator="containsText" id="{7F2FDEAC-351D-4567-BAE8-D9F1FBF9C47B}">
            <xm:f>NOT(ISERROR(SEARCH($I$294,F251)))</xm:f>
            <xm:f>$I$294</xm:f>
            <x14:dxf>
              <fill>
                <patternFill>
                  <bgColor rgb="FF00B0F0"/>
                </patternFill>
              </fill>
            </x14:dxf>
          </x14:cfRule>
          <xm:sqref>F251</xm:sqref>
        </x14:conditionalFormatting>
        <x14:conditionalFormatting xmlns:xm="http://schemas.microsoft.com/office/excel/2006/main">
          <x14:cfRule type="containsText" priority="7" operator="containsText" id="{4A135093-5ABA-46CB-9E12-CD40624F9A83}">
            <xm:f>NOT(ISERROR(SEARCH($I$294,F250)))</xm:f>
            <xm:f>$I$294</xm:f>
            <x14:dxf>
              <fill>
                <patternFill>
                  <bgColor rgb="FF00B0F0"/>
                </patternFill>
              </fill>
            </x14:dxf>
          </x14:cfRule>
          <xm:sqref>F250</xm:sqref>
        </x14:conditionalFormatting>
        <x14:conditionalFormatting xmlns:xm="http://schemas.microsoft.com/office/excel/2006/main">
          <x14:cfRule type="containsText" priority="1" operator="containsText" id="{3D5BF407-D5D9-4E0E-B6D2-732AFB5187A4}">
            <xm:f>NOT(ISERROR(SEARCH($I$53,F430)))</xm:f>
            <xm:f>$I$53</xm:f>
            <x14:dxf>
              <fill>
                <patternFill>
                  <bgColor rgb="FF00B0F0"/>
                </patternFill>
              </fill>
            </x14:dxf>
          </x14:cfRule>
          <xm:sqref>F430</xm:sqref>
        </x14:conditionalFormatting>
        <x14:conditionalFormatting xmlns:xm="http://schemas.microsoft.com/office/excel/2006/main">
          <x14:cfRule type="containsText" priority="3" operator="containsText" id="{98246585-C4F3-4423-B185-577F612694DA}">
            <xm:f>NOT(ISERROR(SEARCH($I$53,F429)))</xm:f>
            <xm:f>$I$53</xm:f>
            <x14:dxf>
              <fill>
                <patternFill>
                  <bgColor rgb="FF00B0F0"/>
                </patternFill>
              </fill>
            </x14:dxf>
          </x14:cfRule>
          <xm:sqref>F429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F0"/>
  </sheetPr>
  <dimension ref="A1:T369"/>
  <sheetViews>
    <sheetView view="pageBreakPreview" topLeftCell="A352" zoomScale="60" zoomScaleNormal="64" workbookViewId="0">
      <selection activeCell="E50" sqref="E50"/>
    </sheetView>
  </sheetViews>
  <sheetFormatPr baseColWidth="10" defaultRowHeight="14.4" x14ac:dyDescent="0.3"/>
  <cols>
    <col min="1" max="1" width="29.109375" bestFit="1" customWidth="1"/>
    <col min="2" max="2" width="19.109375" customWidth="1"/>
    <col min="3" max="3" width="13.44140625" bestFit="1" customWidth="1"/>
    <col min="4" max="4" width="12.5546875" customWidth="1"/>
    <col min="5" max="5" width="17" customWidth="1"/>
    <col min="6" max="6" width="14.6640625" customWidth="1"/>
    <col min="7" max="8" width="19.6640625" customWidth="1"/>
    <col min="13" max="13" width="14.109375" customWidth="1"/>
  </cols>
  <sheetData>
    <row r="1" spans="1:3" hidden="1" x14ac:dyDescent="0.3"/>
    <row r="2" spans="1:3" ht="18" hidden="1" x14ac:dyDescent="0.35">
      <c r="A2" s="10" t="s">
        <v>76</v>
      </c>
    </row>
    <row r="3" spans="1:3" hidden="1" x14ac:dyDescent="0.3"/>
    <row r="4" spans="1:3" hidden="1" x14ac:dyDescent="0.3">
      <c r="A4" s="29" t="s">
        <v>1</v>
      </c>
      <c r="B4" s="45" t="s">
        <v>16</v>
      </c>
      <c r="C4" s="46"/>
    </row>
    <row r="5" spans="1:3" hidden="1" x14ac:dyDescent="0.3">
      <c r="A5" s="7" t="s">
        <v>0</v>
      </c>
      <c r="B5" s="2">
        <v>76.27</v>
      </c>
      <c r="C5" s="2" t="s">
        <v>14</v>
      </c>
    </row>
    <row r="6" spans="1:3" hidden="1" x14ac:dyDescent="0.3">
      <c r="A6" s="7" t="s">
        <v>2</v>
      </c>
      <c r="B6" s="2">
        <v>334.08</v>
      </c>
      <c r="C6" s="2" t="s">
        <v>14</v>
      </c>
    </row>
    <row r="7" spans="1:3" hidden="1" x14ac:dyDescent="0.3">
      <c r="A7" s="7" t="s">
        <v>3</v>
      </c>
      <c r="B7" s="2">
        <v>47.84</v>
      </c>
      <c r="C7" s="2" t="s">
        <v>14</v>
      </c>
    </row>
    <row r="8" spans="1:3" hidden="1" x14ac:dyDescent="0.3">
      <c r="A8" s="7" t="s">
        <v>4</v>
      </c>
      <c r="B8" s="2">
        <v>359.24</v>
      </c>
      <c r="C8" s="2" t="s">
        <v>14</v>
      </c>
    </row>
    <row r="9" spans="1:3" hidden="1" x14ac:dyDescent="0.3">
      <c r="A9" s="7" t="s">
        <v>5</v>
      </c>
      <c r="B9" s="2">
        <v>404.48</v>
      </c>
      <c r="C9" s="2" t="s">
        <v>14</v>
      </c>
    </row>
    <row r="10" spans="1:3" hidden="1" x14ac:dyDescent="0.3">
      <c r="A10" s="7" t="s">
        <v>6</v>
      </c>
      <c r="B10" s="2">
        <v>219.73</v>
      </c>
      <c r="C10" s="2" t="s">
        <v>14</v>
      </c>
    </row>
    <row r="11" spans="1:3" hidden="1" x14ac:dyDescent="0.3">
      <c r="A11" s="7" t="s">
        <v>7</v>
      </c>
      <c r="B11" s="2">
        <v>47.95</v>
      </c>
      <c r="C11" s="2" t="s">
        <v>14</v>
      </c>
    </row>
    <row r="12" spans="1:3" hidden="1" x14ac:dyDescent="0.3">
      <c r="A12" s="7" t="s">
        <v>8</v>
      </c>
      <c r="B12" s="2">
        <v>212.74</v>
      </c>
      <c r="C12" s="2" t="s">
        <v>14</v>
      </c>
    </row>
    <row r="13" spans="1:3" hidden="1" x14ac:dyDescent="0.3">
      <c r="A13" s="7" t="s">
        <v>9</v>
      </c>
      <c r="B13" s="2">
        <v>128.44</v>
      </c>
      <c r="C13" s="2" t="s">
        <v>14</v>
      </c>
    </row>
    <row r="14" spans="1:3" hidden="1" x14ac:dyDescent="0.3">
      <c r="A14" s="7" t="s">
        <v>10</v>
      </c>
      <c r="B14" s="2">
        <v>334.08</v>
      </c>
      <c r="C14" s="2" t="s">
        <v>14</v>
      </c>
    </row>
    <row r="15" spans="1:3" hidden="1" x14ac:dyDescent="0.3">
      <c r="A15" s="7" t="s">
        <v>11</v>
      </c>
      <c r="B15" s="2">
        <v>147.75</v>
      </c>
      <c r="C15" s="2" t="s">
        <v>14</v>
      </c>
    </row>
    <row r="16" spans="1:3" hidden="1" x14ac:dyDescent="0.3"/>
    <row r="17" spans="1:8" hidden="1" x14ac:dyDescent="0.3"/>
    <row r="18" spans="1:8" hidden="1" x14ac:dyDescent="0.3">
      <c r="A18" s="1" t="s">
        <v>21</v>
      </c>
    </row>
    <row r="19" spans="1:8" hidden="1" x14ac:dyDescent="0.3"/>
    <row r="20" spans="1:8" hidden="1" x14ac:dyDescent="0.3">
      <c r="B20" s="2" t="s">
        <v>20</v>
      </c>
      <c r="C20" s="2" t="s">
        <v>13</v>
      </c>
      <c r="D20" s="2" t="s">
        <v>17</v>
      </c>
      <c r="E20" s="2" t="s">
        <v>22</v>
      </c>
      <c r="F20" s="2" t="s">
        <v>18</v>
      </c>
      <c r="G20" s="2" t="s">
        <v>19</v>
      </c>
      <c r="H20" s="11"/>
    </row>
    <row r="21" spans="1:8" hidden="1" x14ac:dyDescent="0.3">
      <c r="A21" s="7" t="s">
        <v>12</v>
      </c>
      <c r="B21" s="2">
        <f>+$B$5/10000</f>
        <v>7.6269999999999992E-3</v>
      </c>
      <c r="C21" s="2">
        <v>0.97</v>
      </c>
      <c r="D21" s="2">
        <v>100</v>
      </c>
      <c r="E21" s="2">
        <v>1</v>
      </c>
      <c r="F21" s="6">
        <f>+B21*C21*D21/360</f>
        <v>2.0550527777777774E-3</v>
      </c>
      <c r="G21" s="6">
        <f>+F21/E21</f>
        <v>2.0550527777777774E-3</v>
      </c>
      <c r="H21" s="12"/>
    </row>
    <row r="22" spans="1:8" hidden="1" x14ac:dyDescent="0.3">
      <c r="A22" s="7" t="s">
        <v>23</v>
      </c>
      <c r="B22" s="2">
        <f>+$B$6/10000</f>
        <v>3.3408E-2</v>
      </c>
      <c r="C22" s="2">
        <v>0.97</v>
      </c>
      <c r="D22" s="2">
        <v>100</v>
      </c>
      <c r="E22" s="2">
        <v>7</v>
      </c>
      <c r="F22" s="6">
        <f t="shared" ref="F22:F31" si="0">+B22*C22*D22/360</f>
        <v>9.0016000000000002E-3</v>
      </c>
      <c r="G22" s="6">
        <f t="shared" ref="G22:G31" si="1">+F22/E22</f>
        <v>1.2859428571428571E-3</v>
      </c>
      <c r="H22" s="12"/>
    </row>
    <row r="23" spans="1:8" hidden="1" x14ac:dyDescent="0.3">
      <c r="A23" s="7" t="s">
        <v>24</v>
      </c>
      <c r="B23" s="2">
        <f>+$B$7/10000</f>
        <v>4.7840000000000001E-3</v>
      </c>
      <c r="C23" s="2">
        <v>0.97</v>
      </c>
      <c r="D23" s="2">
        <v>100</v>
      </c>
      <c r="E23" s="2">
        <v>1</v>
      </c>
      <c r="F23" s="6">
        <f t="shared" si="0"/>
        <v>1.2890222222222221E-3</v>
      </c>
      <c r="G23" s="6">
        <f t="shared" si="1"/>
        <v>1.2890222222222221E-3</v>
      </c>
      <c r="H23" s="12"/>
    </row>
    <row r="24" spans="1:8" hidden="1" x14ac:dyDescent="0.3">
      <c r="A24" s="7" t="s">
        <v>25</v>
      </c>
      <c r="B24" s="2">
        <f>+$B$8/10000</f>
        <v>3.5923999999999998E-2</v>
      </c>
      <c r="C24" s="2">
        <v>0.97</v>
      </c>
      <c r="D24" s="2">
        <v>100</v>
      </c>
      <c r="E24" s="2">
        <v>3</v>
      </c>
      <c r="F24" s="6">
        <f t="shared" si="0"/>
        <v>9.679522222222221E-3</v>
      </c>
      <c r="G24" s="6">
        <f t="shared" si="1"/>
        <v>3.2265074074074068E-3</v>
      </c>
      <c r="H24" s="12"/>
    </row>
    <row r="25" spans="1:8" hidden="1" x14ac:dyDescent="0.3">
      <c r="A25" s="7" t="s">
        <v>26</v>
      </c>
      <c r="B25" s="2">
        <f>+$B$9/10000</f>
        <v>4.0448000000000005E-2</v>
      </c>
      <c r="C25" s="2">
        <v>0.97</v>
      </c>
      <c r="D25" s="2">
        <v>100</v>
      </c>
      <c r="E25" s="2">
        <v>5</v>
      </c>
      <c r="F25" s="6">
        <f t="shared" si="0"/>
        <v>1.0898488888888889E-2</v>
      </c>
      <c r="G25" s="6">
        <f t="shared" si="1"/>
        <v>2.1796977777777779E-3</v>
      </c>
      <c r="H25" s="12"/>
    </row>
    <row r="26" spans="1:8" hidden="1" x14ac:dyDescent="0.3">
      <c r="A26" s="7" t="s">
        <v>27</v>
      </c>
      <c r="B26" s="2">
        <f>+$B$10/10000</f>
        <v>2.1972999999999999E-2</v>
      </c>
      <c r="C26" s="2">
        <v>0.97</v>
      </c>
      <c r="D26" s="2">
        <v>100</v>
      </c>
      <c r="E26" s="2">
        <v>5</v>
      </c>
      <c r="F26" s="6">
        <f t="shared" si="0"/>
        <v>5.9205027777777773E-3</v>
      </c>
      <c r="G26" s="6">
        <f t="shared" si="1"/>
        <v>1.1841005555555555E-3</v>
      </c>
      <c r="H26" s="12"/>
    </row>
    <row r="27" spans="1:8" hidden="1" x14ac:dyDescent="0.3">
      <c r="A27" s="7" t="s">
        <v>28</v>
      </c>
      <c r="B27" s="2">
        <f>+$B$11/10000</f>
        <v>4.7950000000000007E-3</v>
      </c>
      <c r="C27" s="2">
        <v>0.97</v>
      </c>
      <c r="D27" s="2">
        <v>100</v>
      </c>
      <c r="E27" s="2">
        <v>1</v>
      </c>
      <c r="F27" s="6">
        <f t="shared" si="0"/>
        <v>1.2919861111111114E-3</v>
      </c>
      <c r="G27" s="6">
        <f t="shared" si="1"/>
        <v>1.2919861111111114E-3</v>
      </c>
      <c r="H27" s="12"/>
    </row>
    <row r="28" spans="1:8" hidden="1" x14ac:dyDescent="0.3">
      <c r="A28" s="7" t="s">
        <v>29</v>
      </c>
      <c r="B28" s="2">
        <f>+$B$12/10000</f>
        <v>2.1274000000000001E-2</v>
      </c>
      <c r="C28" s="2">
        <v>0.97</v>
      </c>
      <c r="D28" s="2">
        <v>100</v>
      </c>
      <c r="E28" s="2">
        <v>5</v>
      </c>
      <c r="F28" s="6">
        <f t="shared" si="0"/>
        <v>5.7321611111111111E-3</v>
      </c>
      <c r="G28" s="6">
        <f t="shared" si="1"/>
        <v>1.1464322222222221E-3</v>
      </c>
      <c r="H28" s="12"/>
    </row>
    <row r="29" spans="1:8" hidden="1" x14ac:dyDescent="0.3">
      <c r="A29" s="7" t="s">
        <v>30</v>
      </c>
      <c r="B29" s="2">
        <f>+$B$13/10000</f>
        <v>1.2844E-2</v>
      </c>
      <c r="C29" s="2">
        <v>0.97</v>
      </c>
      <c r="D29" s="2">
        <v>100</v>
      </c>
      <c r="E29" s="2">
        <v>2</v>
      </c>
      <c r="F29" s="6">
        <f t="shared" si="0"/>
        <v>3.4607444444444443E-3</v>
      </c>
      <c r="G29" s="6">
        <f t="shared" si="1"/>
        <v>1.7303722222222222E-3</v>
      </c>
      <c r="H29" s="12"/>
    </row>
    <row r="30" spans="1:8" hidden="1" x14ac:dyDescent="0.3">
      <c r="A30" s="7" t="s">
        <v>31</v>
      </c>
      <c r="B30" s="2">
        <f>+$B$14/10000</f>
        <v>3.3408E-2</v>
      </c>
      <c r="C30" s="2">
        <v>0.97</v>
      </c>
      <c r="D30" s="2">
        <v>100</v>
      </c>
      <c r="E30" s="2">
        <v>7</v>
      </c>
      <c r="F30" s="6">
        <f t="shared" si="0"/>
        <v>9.0016000000000002E-3</v>
      </c>
      <c r="G30" s="6">
        <f t="shared" si="1"/>
        <v>1.2859428571428571E-3</v>
      </c>
      <c r="H30" s="12"/>
    </row>
    <row r="31" spans="1:8" hidden="1" x14ac:dyDescent="0.3">
      <c r="A31" s="7" t="s">
        <v>32</v>
      </c>
      <c r="B31" s="2">
        <f>+$B$15/10000</f>
        <v>1.4775E-2</v>
      </c>
      <c r="C31" s="2">
        <v>0.97</v>
      </c>
      <c r="D31" s="2">
        <v>100</v>
      </c>
      <c r="E31" s="2">
        <v>2</v>
      </c>
      <c r="F31" s="6">
        <f t="shared" si="0"/>
        <v>3.9810416666666666E-3</v>
      </c>
      <c r="G31" s="6">
        <f t="shared" si="1"/>
        <v>1.9905208333333333E-3</v>
      </c>
      <c r="H31" s="12"/>
    </row>
    <row r="32" spans="1:8" hidden="1" x14ac:dyDescent="0.3">
      <c r="E32" s="30" t="s">
        <v>95</v>
      </c>
      <c r="F32" s="6">
        <f>SUM(F21:F31)</f>
        <v>6.231172222222222E-2</v>
      </c>
    </row>
    <row r="35" spans="1:13" ht="18" x14ac:dyDescent="0.35">
      <c r="A35" s="10" t="s">
        <v>51</v>
      </c>
      <c r="M35" s="10"/>
    </row>
    <row r="36" spans="1:13" x14ac:dyDescent="0.3">
      <c r="B36" s="2" t="s">
        <v>20</v>
      </c>
      <c r="C36" s="2" t="s">
        <v>13</v>
      </c>
      <c r="D36" s="2" t="s">
        <v>17</v>
      </c>
      <c r="E36" s="2" t="s">
        <v>22</v>
      </c>
      <c r="F36" s="2" t="s">
        <v>18</v>
      </c>
      <c r="G36" s="2" t="s">
        <v>19</v>
      </c>
      <c r="H36" s="11"/>
    </row>
    <row r="37" spans="1:13" x14ac:dyDescent="0.3">
      <c r="A37" s="7" t="s">
        <v>31</v>
      </c>
      <c r="B37" s="2">
        <f>+$B$14/10000</f>
        <v>3.3408E-2</v>
      </c>
      <c r="C37" s="2">
        <v>0.97</v>
      </c>
      <c r="D37" s="2">
        <v>100</v>
      </c>
      <c r="E37" s="2"/>
      <c r="F37" s="6">
        <f t="shared" ref="F37" si="2">+B37*C37*D37/360</f>
        <v>9.0016000000000002E-3</v>
      </c>
      <c r="G37" s="6"/>
      <c r="H37" s="12"/>
    </row>
    <row r="38" spans="1:13" x14ac:dyDescent="0.3">
      <c r="A38" s="2" t="s">
        <v>42</v>
      </c>
      <c r="B38" s="2">
        <f>75.52/10000</f>
        <v>7.5519999999999997E-3</v>
      </c>
      <c r="C38" s="2">
        <v>0.97</v>
      </c>
      <c r="D38" s="2">
        <v>100</v>
      </c>
      <c r="E38" s="19">
        <v>1</v>
      </c>
      <c r="F38" s="6">
        <f>+B38*C38*D38/360</f>
        <v>2.0348444444444444E-3</v>
      </c>
      <c r="G38" s="6"/>
      <c r="H38" s="12"/>
    </row>
    <row r="39" spans="1:13" x14ac:dyDescent="0.3">
      <c r="A39" s="2" t="s">
        <v>53</v>
      </c>
      <c r="B39" s="2">
        <f>80/10000</f>
        <v>8.0000000000000002E-3</v>
      </c>
      <c r="C39" s="2">
        <v>0.97</v>
      </c>
      <c r="D39" s="2">
        <v>100</v>
      </c>
      <c r="E39" s="18"/>
      <c r="F39" s="6">
        <f>+B39*C39*D39/360</f>
        <v>2.1555555555555555E-3</v>
      </c>
      <c r="G39" s="6"/>
      <c r="H39" s="12"/>
    </row>
    <row r="40" spans="1:13" x14ac:dyDescent="0.3">
      <c r="A40" s="11"/>
      <c r="B40" s="11"/>
      <c r="C40" s="11"/>
      <c r="D40" s="11"/>
      <c r="E40" s="11"/>
      <c r="F40" s="12"/>
      <c r="G40" s="12"/>
      <c r="H40" s="12"/>
    </row>
    <row r="41" spans="1:13" x14ac:dyDescent="0.3">
      <c r="F41" s="2" t="s">
        <v>43</v>
      </c>
      <c r="G41" s="6">
        <f>+F37+F38+F39</f>
        <v>1.3191999999999999E-2</v>
      </c>
      <c r="H41" s="12"/>
    </row>
    <row r="42" spans="1:13" x14ac:dyDescent="0.3">
      <c r="A42" s="1" t="s">
        <v>33</v>
      </c>
      <c r="B42" s="1"/>
      <c r="C42" s="1"/>
    </row>
    <row r="43" spans="1:13" x14ac:dyDescent="0.3">
      <c r="A43" s="5" t="s">
        <v>34</v>
      </c>
      <c r="B43" s="14">
        <f>+G41</f>
        <v>1.3191999999999999E-2</v>
      </c>
      <c r="C43" t="s">
        <v>15</v>
      </c>
    </row>
    <row r="44" spans="1:13" x14ac:dyDescent="0.3">
      <c r="A44" s="5" t="s">
        <v>44</v>
      </c>
      <c r="B44" s="7">
        <v>1.2999999999999999E-2</v>
      </c>
    </row>
    <row r="45" spans="1:13" x14ac:dyDescent="0.3">
      <c r="A45" s="5" t="s">
        <v>35</v>
      </c>
      <c r="B45" s="7">
        <v>0</v>
      </c>
    </row>
    <row r="46" spans="1:13" x14ac:dyDescent="0.3">
      <c r="A46" s="5" t="s">
        <v>36</v>
      </c>
      <c r="B46" s="7">
        <v>0.2</v>
      </c>
      <c r="C46" t="s">
        <v>49</v>
      </c>
    </row>
    <row r="47" spans="1:13" x14ac:dyDescent="0.3">
      <c r="A47" s="5" t="s">
        <v>38</v>
      </c>
      <c r="B47" s="7">
        <v>5.0000000000000001E-3</v>
      </c>
      <c r="C47" t="s">
        <v>50</v>
      </c>
    </row>
    <row r="48" spans="1:13" x14ac:dyDescent="0.3">
      <c r="A48" s="5" t="s">
        <v>64</v>
      </c>
      <c r="B48" s="7">
        <v>0.26</v>
      </c>
      <c r="C48" t="s">
        <v>49</v>
      </c>
    </row>
    <row r="50" spans="1:20" x14ac:dyDescent="0.3">
      <c r="A50" s="8" t="s">
        <v>37</v>
      </c>
      <c r="B50" s="2" t="s">
        <v>38</v>
      </c>
      <c r="C50" s="5" t="s">
        <v>39</v>
      </c>
      <c r="D50" s="5" t="s">
        <v>40</v>
      </c>
      <c r="E50" s="5" t="s">
        <v>41</v>
      </c>
      <c r="F50" s="5" t="s">
        <v>34</v>
      </c>
      <c r="G50" s="17" t="s">
        <v>45</v>
      </c>
      <c r="H50" s="8" t="s">
        <v>60</v>
      </c>
      <c r="I50" s="17" t="s">
        <v>61</v>
      </c>
      <c r="J50" s="8" t="s">
        <v>101</v>
      </c>
      <c r="K50" s="8" t="s">
        <v>96</v>
      </c>
    </row>
    <row r="51" spans="1:20" x14ac:dyDescent="0.3">
      <c r="A51" s="9">
        <v>9.6586963791261748E-2</v>
      </c>
      <c r="B51" s="4">
        <f>+B47</f>
        <v>5.0000000000000001E-3</v>
      </c>
      <c r="C51" s="2">
        <f>+A51*B46</f>
        <v>1.9317392758252352E-2</v>
      </c>
      <c r="D51" s="2">
        <f>+B46+2*A51</f>
        <v>0.39317392758252351</v>
      </c>
      <c r="E51" s="2">
        <f>C51/D51</f>
        <v>4.9131927127079943E-2</v>
      </c>
      <c r="F51" s="2">
        <f>C51*(E51^(2/3))*(B51^(1/2))/B44</f>
        <v>1.4095030688819383E-2</v>
      </c>
      <c r="G51" s="31">
        <f>ROUND(A51,4)</f>
        <v>9.6600000000000005E-2</v>
      </c>
      <c r="H51" s="20">
        <f>+ROUND(G51,4)*100</f>
        <v>9.66</v>
      </c>
      <c r="I51" s="2">
        <f>4/5*B48</f>
        <v>0.20800000000000002</v>
      </c>
      <c r="J51" s="9">
        <f>+(B48-G51)*100</f>
        <v>16.34</v>
      </c>
      <c r="K51" s="20">
        <f>+B43/C51</f>
        <v>0.68290789368375826</v>
      </c>
    </row>
    <row r="53" spans="1:20" x14ac:dyDescent="0.3">
      <c r="F53" s="1" t="s">
        <v>62</v>
      </c>
      <c r="G53" s="1"/>
      <c r="H53" s="1"/>
      <c r="I53" s="1" t="str">
        <f>IF(G51&lt;I51,"CUMPLE","NO CUMPLE")</f>
        <v>CUMPLE</v>
      </c>
      <c r="J53" s="1"/>
      <c r="R53" s="1"/>
      <c r="S53" s="1"/>
      <c r="T53" s="1"/>
    </row>
    <row r="54" spans="1:20" x14ac:dyDescent="0.3">
      <c r="A54" s="1"/>
      <c r="F54" s="1" t="s">
        <v>97</v>
      </c>
      <c r="G54" s="1"/>
      <c r="I54" s="1" t="str">
        <f>+IF(K51&lt;3,"CUMPLE","Verificar Ancho")</f>
        <v>CUMPLE</v>
      </c>
      <c r="J54" s="1"/>
    </row>
    <row r="55" spans="1:20" x14ac:dyDescent="0.3">
      <c r="A55" s="1"/>
      <c r="F55" s="1"/>
      <c r="G55" s="1"/>
      <c r="I55" s="1"/>
      <c r="J55" s="1"/>
    </row>
    <row r="56" spans="1:20" x14ac:dyDescent="0.3">
      <c r="A56" s="1"/>
      <c r="F56" s="1"/>
      <c r="G56" s="1"/>
      <c r="I56" s="1"/>
      <c r="J56" s="1"/>
    </row>
    <row r="57" spans="1:20" ht="18" x14ac:dyDescent="0.35">
      <c r="A57" s="10" t="s">
        <v>52</v>
      </c>
    </row>
    <row r="58" spans="1:20" x14ac:dyDescent="0.3">
      <c r="B58" s="2" t="s">
        <v>20</v>
      </c>
      <c r="C58" s="2" t="s">
        <v>13</v>
      </c>
      <c r="D58" s="2" t="s">
        <v>17</v>
      </c>
      <c r="E58" s="2" t="s">
        <v>22</v>
      </c>
      <c r="F58" s="2" t="s">
        <v>18</v>
      </c>
      <c r="G58" s="2" t="s">
        <v>19</v>
      </c>
      <c r="H58" s="11"/>
    </row>
    <row r="59" spans="1:20" x14ac:dyDescent="0.3">
      <c r="A59" s="2" t="s">
        <v>54</v>
      </c>
      <c r="B59" s="47"/>
      <c r="C59" s="48"/>
      <c r="D59" s="48"/>
      <c r="E59" s="49"/>
      <c r="F59" s="6">
        <f>+B43</f>
        <v>1.3191999999999999E-2</v>
      </c>
      <c r="G59" s="2"/>
      <c r="H59" s="11"/>
    </row>
    <row r="60" spans="1:20" x14ac:dyDescent="0.3">
      <c r="A60" s="7" t="s">
        <v>30</v>
      </c>
      <c r="B60" s="2">
        <f>+$B$13/10000</f>
        <v>1.2844E-2</v>
      </c>
      <c r="C60" s="2">
        <v>0.97</v>
      </c>
      <c r="D60" s="2">
        <v>100</v>
      </c>
      <c r="E60" s="2"/>
      <c r="F60" s="6">
        <f t="shared" ref="F60:F62" si="3">+B60*C60*D60/360</f>
        <v>3.4607444444444443E-3</v>
      </c>
      <c r="G60" s="6"/>
      <c r="H60" s="12"/>
    </row>
    <row r="61" spans="1:20" x14ac:dyDescent="0.3">
      <c r="A61" s="2" t="s">
        <v>63</v>
      </c>
      <c r="B61" s="2">
        <f>34/10000</f>
        <v>3.3999999999999998E-3</v>
      </c>
      <c r="C61" s="2">
        <v>0.97</v>
      </c>
      <c r="D61" s="2">
        <v>100</v>
      </c>
      <c r="E61" s="19">
        <v>1</v>
      </c>
      <c r="F61" s="6">
        <f t="shared" si="3"/>
        <v>9.1611111111111103E-4</v>
      </c>
      <c r="G61" s="6"/>
      <c r="H61" s="12"/>
    </row>
    <row r="62" spans="1:20" x14ac:dyDescent="0.3">
      <c r="A62" s="2" t="s">
        <v>55</v>
      </c>
      <c r="B62" s="2">
        <f>31.22/10000</f>
        <v>3.1219999999999998E-3</v>
      </c>
      <c r="C62" s="2">
        <v>0.97</v>
      </c>
      <c r="D62" s="2">
        <v>100</v>
      </c>
      <c r="E62" s="19">
        <v>1</v>
      </c>
      <c r="F62" s="6">
        <f t="shared" si="3"/>
        <v>8.4120555555555537E-4</v>
      </c>
      <c r="G62" s="6"/>
      <c r="H62" s="12"/>
    </row>
    <row r="63" spans="1:20" x14ac:dyDescent="0.3">
      <c r="A63" s="11"/>
      <c r="B63" s="11"/>
      <c r="C63" s="11"/>
      <c r="D63" s="11"/>
      <c r="E63" s="11"/>
      <c r="F63" s="12"/>
      <c r="G63" s="12"/>
      <c r="H63" s="12"/>
    </row>
    <row r="64" spans="1:20" x14ac:dyDescent="0.3">
      <c r="F64" s="2" t="s">
        <v>43</v>
      </c>
      <c r="G64" s="6">
        <f>+F59+F61+F60+F62</f>
        <v>1.8410061111111108E-2</v>
      </c>
      <c r="H64" s="12"/>
    </row>
    <row r="65" spans="1:11" x14ac:dyDescent="0.3">
      <c r="A65" s="1" t="s">
        <v>33</v>
      </c>
      <c r="B65" s="1"/>
      <c r="C65" s="1"/>
    </row>
    <row r="66" spans="1:11" x14ac:dyDescent="0.3">
      <c r="A66" s="5" t="s">
        <v>34</v>
      </c>
      <c r="B66" s="14">
        <f>+G64</f>
        <v>1.8410061111111108E-2</v>
      </c>
      <c r="C66" t="s">
        <v>15</v>
      </c>
    </row>
    <row r="67" spans="1:11" x14ac:dyDescent="0.3">
      <c r="A67" s="5" t="s">
        <v>44</v>
      </c>
      <c r="B67" s="7">
        <v>1.2999999999999999E-2</v>
      </c>
    </row>
    <row r="68" spans="1:11" x14ac:dyDescent="0.3">
      <c r="A68" s="5" t="s">
        <v>35</v>
      </c>
      <c r="B68" s="7">
        <v>0</v>
      </c>
    </row>
    <row r="69" spans="1:11" x14ac:dyDescent="0.3">
      <c r="A69" s="5" t="s">
        <v>36</v>
      </c>
      <c r="B69" s="7">
        <v>0.2</v>
      </c>
      <c r="C69" t="s">
        <v>49</v>
      </c>
    </row>
    <row r="70" spans="1:11" x14ac:dyDescent="0.3">
      <c r="A70" s="5" t="s">
        <v>38</v>
      </c>
      <c r="B70" s="7">
        <v>5.0000000000000001E-3</v>
      </c>
      <c r="C70" t="s">
        <v>50</v>
      </c>
    </row>
    <row r="71" spans="1:11" x14ac:dyDescent="0.3">
      <c r="A71" s="5" t="s">
        <v>64</v>
      </c>
      <c r="B71" s="7">
        <v>0.28999999999999998</v>
      </c>
      <c r="C71" t="s">
        <v>49</v>
      </c>
      <c r="G71" s="13"/>
      <c r="H71" s="13"/>
    </row>
    <row r="73" spans="1:11" x14ac:dyDescent="0.3">
      <c r="A73" s="8" t="s">
        <v>37</v>
      </c>
      <c r="B73" s="2" t="s">
        <v>38</v>
      </c>
      <c r="C73" s="5" t="s">
        <v>39</v>
      </c>
      <c r="D73" s="5" t="s">
        <v>40</v>
      </c>
      <c r="E73" s="5" t="s">
        <v>41</v>
      </c>
      <c r="F73" s="5" t="s">
        <v>34</v>
      </c>
      <c r="G73" s="17" t="s">
        <v>45</v>
      </c>
      <c r="H73" s="8" t="s">
        <v>60</v>
      </c>
      <c r="I73" s="17" t="s">
        <v>46</v>
      </c>
      <c r="J73" s="8" t="s">
        <v>101</v>
      </c>
      <c r="K73" s="8" t="s">
        <v>96</v>
      </c>
    </row>
    <row r="74" spans="1:11" x14ac:dyDescent="0.3">
      <c r="A74" s="9">
        <v>0.1202184827736307</v>
      </c>
      <c r="B74" s="4">
        <f>+B70</f>
        <v>5.0000000000000001E-3</v>
      </c>
      <c r="C74" s="2">
        <f>+A74*B69</f>
        <v>2.4043696554726143E-2</v>
      </c>
      <c r="D74" s="2">
        <f>+B69+2*A74</f>
        <v>0.44043696554726142</v>
      </c>
      <c r="E74" s="2">
        <f>C74/D74</f>
        <v>5.4590550829108637E-2</v>
      </c>
      <c r="F74" s="2">
        <f>C74*(E74^(2/3))*(B74^(1/2))/B67</f>
        <v>1.8820068758498017E-2</v>
      </c>
      <c r="G74" s="31">
        <f>ROUND(A74,2)</f>
        <v>0.12</v>
      </c>
      <c r="H74" s="20">
        <f>+ROUND(G74,4)*100</f>
        <v>12</v>
      </c>
      <c r="I74" s="2">
        <f>4/5*B71</f>
        <v>0.23199999999999998</v>
      </c>
      <c r="J74" s="9">
        <f>+(B71-G74)*100</f>
        <v>17</v>
      </c>
      <c r="K74" s="20">
        <f>+B66/C74</f>
        <v>0.76569179240836571</v>
      </c>
    </row>
    <row r="76" spans="1:11" x14ac:dyDescent="0.3">
      <c r="F76" s="1" t="s">
        <v>47</v>
      </c>
      <c r="G76" s="1"/>
      <c r="H76" s="1"/>
      <c r="I76" s="1" t="str">
        <f>IF(G74&lt;I74,"CUMPLE","NO CUMPLE")</f>
        <v>CUMPLE</v>
      </c>
      <c r="J76" s="1"/>
    </row>
    <row r="77" spans="1:11" x14ac:dyDescent="0.3">
      <c r="F77" s="1" t="s">
        <v>97</v>
      </c>
      <c r="G77" s="1"/>
      <c r="I77" s="1" t="str">
        <f>+IF(K74&lt;3,"CUMPLE","Verificar Ancho")</f>
        <v>CUMPLE</v>
      </c>
      <c r="J77" s="1"/>
    </row>
    <row r="78" spans="1:11" x14ac:dyDescent="0.3">
      <c r="F78" s="1"/>
      <c r="G78" s="1"/>
      <c r="I78" s="1"/>
      <c r="J78" s="1"/>
    </row>
    <row r="79" spans="1:11" x14ac:dyDescent="0.3">
      <c r="F79" s="1"/>
      <c r="G79" s="1"/>
      <c r="H79" s="1"/>
      <c r="I79" s="1"/>
      <c r="J79" s="1"/>
    </row>
    <row r="80" spans="1:11" ht="18" x14ac:dyDescent="0.35">
      <c r="A80" s="10" t="s">
        <v>135</v>
      </c>
    </row>
    <row r="81" spans="1:10" x14ac:dyDescent="0.3">
      <c r="B81" s="2" t="s">
        <v>20</v>
      </c>
      <c r="C81" s="2" t="s">
        <v>13</v>
      </c>
      <c r="D81" s="2" t="s">
        <v>17</v>
      </c>
      <c r="E81" s="2" t="s">
        <v>22</v>
      </c>
      <c r="F81" s="2" t="s">
        <v>18</v>
      </c>
      <c r="G81" s="2" t="s">
        <v>19</v>
      </c>
      <c r="H81" s="11"/>
    </row>
    <row r="82" spans="1:10" x14ac:dyDescent="0.3">
      <c r="A82" s="2" t="s">
        <v>54</v>
      </c>
      <c r="B82" s="47"/>
      <c r="C82" s="48"/>
      <c r="D82" s="48"/>
      <c r="E82" s="49"/>
      <c r="F82" s="6">
        <f>+B66</f>
        <v>1.8410061111111108E-2</v>
      </c>
      <c r="G82" s="2"/>
      <c r="H82" s="11"/>
    </row>
    <row r="83" spans="1:10" x14ac:dyDescent="0.3">
      <c r="A83" s="11"/>
      <c r="B83" s="11"/>
      <c r="C83" s="11"/>
      <c r="D83" s="11"/>
      <c r="E83" s="11"/>
      <c r="F83" s="12"/>
      <c r="G83" s="12"/>
      <c r="H83" s="12"/>
    </row>
    <row r="84" spans="1:10" x14ac:dyDescent="0.3">
      <c r="F84" s="2" t="s">
        <v>43</v>
      </c>
      <c r="G84" s="6">
        <f>+F82</f>
        <v>1.8410061111111108E-2</v>
      </c>
      <c r="H84" s="12"/>
    </row>
    <row r="85" spans="1:10" x14ac:dyDescent="0.3">
      <c r="A85" s="1" t="s">
        <v>71</v>
      </c>
      <c r="B85" s="1"/>
      <c r="C85" s="1"/>
    </row>
    <row r="86" spans="1:10" x14ac:dyDescent="0.3">
      <c r="A86" s="5" t="s">
        <v>66</v>
      </c>
      <c r="B86" s="14">
        <f>+G84</f>
        <v>1.8410061111111108E-2</v>
      </c>
      <c r="C86" t="s">
        <v>15</v>
      </c>
    </row>
    <row r="87" spans="1:10" x14ac:dyDescent="0.3">
      <c r="A87" s="5" t="s">
        <v>56</v>
      </c>
      <c r="B87" s="7">
        <v>0.01</v>
      </c>
    </row>
    <row r="88" spans="1:10" ht="18" x14ac:dyDescent="0.35">
      <c r="A88" s="21" t="s">
        <v>93</v>
      </c>
      <c r="B88" s="15">
        <f>180*PI()/180</f>
        <v>3.1415926535897931</v>
      </c>
      <c r="C88" t="s">
        <v>58</v>
      </c>
    </row>
    <row r="89" spans="1:10" x14ac:dyDescent="0.3">
      <c r="A89" s="5" t="s">
        <v>38</v>
      </c>
      <c r="B89" s="7">
        <v>5.3199999999999997E-2</v>
      </c>
      <c r="C89" t="s">
        <v>50</v>
      </c>
    </row>
    <row r="90" spans="1:10" x14ac:dyDescent="0.3">
      <c r="A90" s="23" t="s">
        <v>57</v>
      </c>
      <c r="B90" s="22">
        <v>6</v>
      </c>
      <c r="C90" t="s">
        <v>65</v>
      </c>
      <c r="G90" s="13"/>
      <c r="H90" s="13"/>
    </row>
    <row r="92" spans="1:10" x14ac:dyDescent="0.3">
      <c r="A92" s="8" t="s">
        <v>57</v>
      </c>
      <c r="B92" s="2" t="s">
        <v>38</v>
      </c>
      <c r="C92" s="5" t="s">
        <v>39</v>
      </c>
      <c r="D92" s="5" t="s">
        <v>40</v>
      </c>
      <c r="E92" s="5" t="s">
        <v>41</v>
      </c>
      <c r="F92" s="8" t="s">
        <v>99</v>
      </c>
      <c r="G92" s="8" t="s">
        <v>96</v>
      </c>
    </row>
    <row r="93" spans="1:10" x14ac:dyDescent="0.3">
      <c r="A93" s="9">
        <f>+B90*0.0254</f>
        <v>0.15239999999999998</v>
      </c>
      <c r="B93" s="2">
        <f>+B89</f>
        <v>5.3199999999999997E-2</v>
      </c>
      <c r="C93" s="4">
        <f>+((B88-SIN(B88))*(A93)^2)/8</f>
        <v>9.1207346237549575E-3</v>
      </c>
      <c r="D93" s="2">
        <f>+B88*A93/2</f>
        <v>0.23938936020354221</v>
      </c>
      <c r="E93" s="2">
        <f>(1-SIN(B88)/B88)*(A93)/4</f>
        <v>3.8099999999999995E-2</v>
      </c>
      <c r="F93" s="9">
        <f>C93*(E93^(2/3))*(B93^(1/2))/B87</f>
        <v>2.3819663375038817E-2</v>
      </c>
      <c r="G93" s="20">
        <f>+B86/C93</f>
        <v>2.0184844610172186</v>
      </c>
    </row>
    <row r="95" spans="1:10" x14ac:dyDescent="0.3">
      <c r="C95" s="1" t="s">
        <v>100</v>
      </c>
      <c r="D95" s="1"/>
      <c r="F95" s="1" t="str">
        <f>+IF(B86&lt;F93,"CUMPLE","NO CUMPLE")</f>
        <v>CUMPLE</v>
      </c>
      <c r="G95" s="1"/>
      <c r="H95" s="1"/>
      <c r="I95" s="1"/>
      <c r="J95" s="1"/>
    </row>
    <row r="96" spans="1:10" x14ac:dyDescent="0.3">
      <c r="C96" s="1" t="s">
        <v>98</v>
      </c>
      <c r="D96" s="1"/>
      <c r="F96" s="1" t="str">
        <f>+IF(G93&lt;5,"CUMPLE","Verificar Diametro")</f>
        <v>CUMPLE</v>
      </c>
      <c r="G96" s="1"/>
      <c r="H96" s="1"/>
      <c r="I96" s="1"/>
      <c r="J96" s="1"/>
    </row>
    <row r="97" spans="1:8" x14ac:dyDescent="0.3">
      <c r="C97" s="1" t="s">
        <v>69</v>
      </c>
      <c r="D97" s="1"/>
    </row>
    <row r="98" spans="1:8" x14ac:dyDescent="0.3">
      <c r="D98" s="27" t="s">
        <v>59</v>
      </c>
      <c r="E98" s="27">
        <f>IF(B86&lt;F93,A93/0.0254,"Modificar Diametro")</f>
        <v>5.9999999999999991</v>
      </c>
      <c r="F98" s="27" t="s">
        <v>65</v>
      </c>
    </row>
    <row r="101" spans="1:8" ht="18" x14ac:dyDescent="0.35">
      <c r="A101" s="26" t="s">
        <v>119</v>
      </c>
    </row>
    <row r="102" spans="1:8" x14ac:dyDescent="0.3">
      <c r="B102" s="2" t="s">
        <v>20</v>
      </c>
      <c r="C102" s="2" t="s">
        <v>13</v>
      </c>
      <c r="D102" s="2" t="s">
        <v>17</v>
      </c>
      <c r="E102" s="2" t="s">
        <v>22</v>
      </c>
      <c r="F102" s="2" t="s">
        <v>18</v>
      </c>
      <c r="G102" s="2" t="s">
        <v>19</v>
      </c>
      <c r="H102" s="11"/>
    </row>
    <row r="103" spans="1:8" x14ac:dyDescent="0.3">
      <c r="A103" s="2" t="s">
        <v>125</v>
      </c>
      <c r="B103" s="2">
        <f>110*1.25/10000</f>
        <v>1.375E-2</v>
      </c>
      <c r="C103" s="2">
        <v>0.97</v>
      </c>
      <c r="D103" s="2">
        <v>100</v>
      </c>
      <c r="E103" s="19">
        <v>1</v>
      </c>
      <c r="F103" s="6">
        <f t="shared" ref="F103" si="4">+B103*C103*D103/360</f>
        <v>3.704861111111111E-3</v>
      </c>
      <c r="G103" s="6"/>
      <c r="H103" s="12"/>
    </row>
    <row r="104" spans="1:8" x14ac:dyDescent="0.3">
      <c r="A104" s="11"/>
      <c r="B104" s="11"/>
      <c r="C104" s="11"/>
      <c r="D104" s="11"/>
      <c r="E104" s="11"/>
      <c r="F104" s="12"/>
      <c r="G104" s="12"/>
      <c r="H104" s="12"/>
    </row>
    <row r="105" spans="1:8" s="38" customFormat="1" x14ac:dyDescent="0.3">
      <c r="F105" s="39" t="s">
        <v>43</v>
      </c>
      <c r="G105" s="40">
        <f>+F103</f>
        <v>3.704861111111111E-3</v>
      </c>
      <c r="H105" s="41"/>
    </row>
    <row r="106" spans="1:8" x14ac:dyDescent="0.3">
      <c r="A106" s="1" t="s">
        <v>33</v>
      </c>
      <c r="B106" s="1"/>
      <c r="C106" s="1"/>
    </row>
    <row r="107" spans="1:8" x14ac:dyDescent="0.3">
      <c r="A107" s="5" t="s">
        <v>34</v>
      </c>
      <c r="B107" s="14">
        <f>+G105</f>
        <v>3.704861111111111E-3</v>
      </c>
      <c r="C107" t="s">
        <v>15</v>
      </c>
    </row>
    <row r="108" spans="1:8" x14ac:dyDescent="0.3">
      <c r="A108" s="5" t="s">
        <v>44</v>
      </c>
      <c r="B108" s="7">
        <v>1.2999999999999999E-2</v>
      </c>
    </row>
    <row r="109" spans="1:8" x14ac:dyDescent="0.3">
      <c r="A109" s="5" t="s">
        <v>35</v>
      </c>
      <c r="B109" s="7">
        <v>0</v>
      </c>
    </row>
    <row r="110" spans="1:8" x14ac:dyDescent="0.3">
      <c r="A110" s="5" t="s">
        <v>36</v>
      </c>
      <c r="B110" s="7">
        <v>0.3</v>
      </c>
      <c r="C110" t="s">
        <v>49</v>
      </c>
    </row>
    <row r="111" spans="1:8" x14ac:dyDescent="0.3">
      <c r="A111" s="5" t="s">
        <v>38</v>
      </c>
      <c r="B111" s="7">
        <v>0.01</v>
      </c>
      <c r="C111" t="s">
        <v>50</v>
      </c>
    </row>
    <row r="112" spans="1:8" x14ac:dyDescent="0.3">
      <c r="A112" s="5" t="s">
        <v>64</v>
      </c>
      <c r="B112" s="7">
        <v>0.36</v>
      </c>
      <c r="C112" t="s">
        <v>49</v>
      </c>
      <c r="G112" s="13"/>
      <c r="H112" s="13"/>
    </row>
    <row r="114" spans="1:11" x14ac:dyDescent="0.3">
      <c r="A114" s="8" t="s">
        <v>37</v>
      </c>
      <c r="B114" s="2" t="s">
        <v>38</v>
      </c>
      <c r="C114" s="5" t="s">
        <v>39</v>
      </c>
      <c r="D114" s="5" t="s">
        <v>40</v>
      </c>
      <c r="E114" s="5" t="s">
        <v>41</v>
      </c>
      <c r="F114" s="5" t="s">
        <v>34</v>
      </c>
      <c r="G114" s="17" t="s">
        <v>45</v>
      </c>
      <c r="H114" s="8" t="s">
        <v>60</v>
      </c>
      <c r="I114" s="17" t="s">
        <v>46</v>
      </c>
      <c r="J114" s="8" t="s">
        <v>101</v>
      </c>
      <c r="K114" s="8" t="s">
        <v>96</v>
      </c>
    </row>
    <row r="115" spans="1:11" x14ac:dyDescent="0.3">
      <c r="A115" s="9">
        <v>2.468217059011461E-2</v>
      </c>
      <c r="B115" s="4">
        <f>+B111</f>
        <v>0.01</v>
      </c>
      <c r="C115" s="2">
        <f>+A115*B110</f>
        <v>7.4046511770343828E-3</v>
      </c>
      <c r="D115" s="2">
        <f>+B110+2*A115</f>
        <v>0.34936434118022919</v>
      </c>
      <c r="E115" s="2">
        <f>C115/D115</f>
        <v>2.1194639246867184E-2</v>
      </c>
      <c r="F115" s="2">
        <f>C115*(E115^(2/3))*(B115^(1/2))/B108</f>
        <v>4.3622639276745569E-3</v>
      </c>
      <c r="G115" s="31">
        <f>ROUND(A115,2)</f>
        <v>0.02</v>
      </c>
      <c r="H115" s="20">
        <f>+ROUND(G115,4)*100</f>
        <v>2</v>
      </c>
      <c r="I115" s="2">
        <f>4/5*B112</f>
        <v>0.28799999999999998</v>
      </c>
      <c r="J115" s="9">
        <f>+(B112-G115)*100</f>
        <v>34</v>
      </c>
      <c r="K115" s="20">
        <f>+B107/C115</f>
        <v>0.50034242296271614</v>
      </c>
    </row>
    <row r="117" spans="1:11" x14ac:dyDescent="0.3">
      <c r="F117" s="1" t="s">
        <v>47</v>
      </c>
      <c r="G117" s="1"/>
      <c r="H117" s="1"/>
      <c r="I117" s="1" t="str">
        <f>IF(G115&lt;I115,"CUMPLE","NO CUMPLE")</f>
        <v>CUMPLE</v>
      </c>
      <c r="J117" s="1"/>
    </row>
    <row r="118" spans="1:11" x14ac:dyDescent="0.3">
      <c r="F118" s="1" t="s">
        <v>97</v>
      </c>
      <c r="G118" s="1"/>
      <c r="I118" s="1" t="str">
        <f>+IF(K115&lt;3,"CUMPLE","Verificar Ancho")</f>
        <v>CUMPLE</v>
      </c>
      <c r="J118" s="1"/>
    </row>
    <row r="119" spans="1:11" x14ac:dyDescent="0.3">
      <c r="F119" s="1"/>
      <c r="G119" s="1"/>
      <c r="I119" s="1"/>
      <c r="J119" s="1"/>
    </row>
    <row r="120" spans="1:11" x14ac:dyDescent="0.3">
      <c r="F120" s="1"/>
      <c r="G120" s="1"/>
      <c r="H120" s="1"/>
      <c r="I120" s="1"/>
      <c r="J120" s="1"/>
    </row>
    <row r="121" spans="1:11" ht="18" x14ac:dyDescent="0.35">
      <c r="A121" s="26" t="s">
        <v>120</v>
      </c>
    </row>
    <row r="122" spans="1:11" x14ac:dyDescent="0.3">
      <c r="B122" s="2" t="s">
        <v>20</v>
      </c>
      <c r="C122" s="2" t="s">
        <v>13</v>
      </c>
      <c r="D122" s="2" t="s">
        <v>17</v>
      </c>
      <c r="E122" s="2" t="s">
        <v>22</v>
      </c>
      <c r="F122" s="2" t="s">
        <v>18</v>
      </c>
      <c r="G122" s="2" t="s">
        <v>19</v>
      </c>
      <c r="H122" s="11"/>
    </row>
    <row r="123" spans="1:11" x14ac:dyDescent="0.3">
      <c r="A123" s="2" t="s">
        <v>126</v>
      </c>
      <c r="B123" s="2">
        <f>76*1.25/10000</f>
        <v>9.4999999999999998E-3</v>
      </c>
      <c r="C123" s="2">
        <v>0.97</v>
      </c>
      <c r="D123" s="2">
        <v>100</v>
      </c>
      <c r="E123" s="19">
        <v>1</v>
      </c>
      <c r="F123" s="6">
        <f t="shared" ref="F123" si="5">+B123*C123*D123/360</f>
        <v>2.5597222222222219E-3</v>
      </c>
      <c r="G123" s="6"/>
      <c r="H123" s="12"/>
    </row>
    <row r="124" spans="1:11" x14ac:dyDescent="0.3">
      <c r="A124" s="11"/>
      <c r="B124" s="11"/>
      <c r="C124" s="11"/>
      <c r="D124" s="11"/>
      <c r="E124" s="11"/>
      <c r="F124" s="12"/>
      <c r="G124" s="12"/>
      <c r="H124" s="12"/>
    </row>
    <row r="125" spans="1:11" s="34" customFormat="1" x14ac:dyDescent="0.3">
      <c r="F125" s="4" t="s">
        <v>43</v>
      </c>
      <c r="G125" s="43">
        <f>+F123</f>
        <v>2.5597222222222219E-3</v>
      </c>
      <c r="H125" s="44"/>
    </row>
    <row r="126" spans="1:11" x14ac:dyDescent="0.3">
      <c r="A126" s="1" t="s">
        <v>33</v>
      </c>
      <c r="B126" s="1"/>
      <c r="C126" s="1"/>
    </row>
    <row r="127" spans="1:11" x14ac:dyDescent="0.3">
      <c r="A127" s="5" t="s">
        <v>34</v>
      </c>
      <c r="B127" s="14">
        <f>+G125</f>
        <v>2.5597222222222219E-3</v>
      </c>
      <c r="C127" t="s">
        <v>15</v>
      </c>
    </row>
    <row r="128" spans="1:11" x14ac:dyDescent="0.3">
      <c r="A128" s="5" t="s">
        <v>44</v>
      </c>
      <c r="B128" s="7">
        <v>1.2999999999999999E-2</v>
      </c>
    </row>
    <row r="129" spans="1:11" x14ac:dyDescent="0.3">
      <c r="A129" s="5" t="s">
        <v>35</v>
      </c>
      <c r="B129" s="7">
        <v>0</v>
      </c>
    </row>
    <row r="130" spans="1:11" x14ac:dyDescent="0.3">
      <c r="A130" s="5" t="s">
        <v>36</v>
      </c>
      <c r="B130" s="7">
        <v>0.3</v>
      </c>
      <c r="C130" t="s">
        <v>49</v>
      </c>
    </row>
    <row r="131" spans="1:11" x14ac:dyDescent="0.3">
      <c r="A131" s="5" t="s">
        <v>38</v>
      </c>
      <c r="B131" s="7">
        <v>0.01</v>
      </c>
      <c r="C131" t="s">
        <v>50</v>
      </c>
    </row>
    <row r="132" spans="1:11" x14ac:dyDescent="0.3">
      <c r="A132" s="5" t="s">
        <v>64</v>
      </c>
      <c r="B132" s="7">
        <v>0.36</v>
      </c>
      <c r="C132" t="s">
        <v>49</v>
      </c>
      <c r="G132" s="13"/>
      <c r="H132" s="13"/>
    </row>
    <row r="134" spans="1:11" x14ac:dyDescent="0.3">
      <c r="A134" s="8" t="s">
        <v>37</v>
      </c>
      <c r="B134" s="2" t="s">
        <v>38</v>
      </c>
      <c r="C134" s="5" t="s">
        <v>39</v>
      </c>
      <c r="D134" s="5" t="s">
        <v>40</v>
      </c>
      <c r="E134" s="5" t="s">
        <v>41</v>
      </c>
      <c r="F134" s="5" t="s">
        <v>34</v>
      </c>
      <c r="G134" s="17" t="s">
        <v>45</v>
      </c>
      <c r="H134" s="8" t="s">
        <v>60</v>
      </c>
      <c r="I134" s="17" t="s">
        <v>46</v>
      </c>
      <c r="J134" s="8" t="s">
        <v>101</v>
      </c>
      <c r="K134" s="8" t="s">
        <v>96</v>
      </c>
    </row>
    <row r="135" spans="1:11" x14ac:dyDescent="0.3">
      <c r="A135" s="9">
        <v>1.9135615401324808E-2</v>
      </c>
      <c r="B135" s="4">
        <f>+B131</f>
        <v>0.01</v>
      </c>
      <c r="C135" s="2">
        <f>+A135*B130</f>
        <v>5.740684620397442E-3</v>
      </c>
      <c r="D135" s="2">
        <f>+B130+2*A135</f>
        <v>0.33827123080264959</v>
      </c>
      <c r="E135" s="2">
        <f>C135/D135</f>
        <v>1.6970655786411253E-2</v>
      </c>
      <c r="F135" s="2">
        <f>C135*(E135^(2/3))*(B135^(1/2))/B128</f>
        <v>2.9162141930273422E-3</v>
      </c>
      <c r="G135" s="31">
        <f>ROUND(A135,2)</f>
        <v>0.02</v>
      </c>
      <c r="H135" s="20">
        <f>+ROUND(G135,4)*100</f>
        <v>2</v>
      </c>
      <c r="I135" s="2">
        <f>4/5*B132</f>
        <v>0.28799999999999998</v>
      </c>
      <c r="J135" s="9">
        <f>+(B132-G135)*100</f>
        <v>34</v>
      </c>
      <c r="K135" s="20">
        <f>+B127/C135</f>
        <v>0.44589145572066036</v>
      </c>
    </row>
    <row r="137" spans="1:11" x14ac:dyDescent="0.3">
      <c r="F137" s="1" t="s">
        <v>47</v>
      </c>
      <c r="G137" s="1"/>
      <c r="H137" s="1"/>
      <c r="I137" s="1" t="str">
        <f>IF(G135&lt;I135,"CUMPLE","NO CUMPLE")</f>
        <v>CUMPLE</v>
      </c>
      <c r="J137" s="1"/>
    </row>
    <row r="138" spans="1:11" x14ac:dyDescent="0.3">
      <c r="F138" s="1" t="s">
        <v>97</v>
      </c>
      <c r="G138" s="1"/>
      <c r="I138" s="1" t="str">
        <f>+IF(K135&lt;3,"CUMPLE","Verificar Ancho")</f>
        <v>CUMPLE</v>
      </c>
      <c r="J138" s="1"/>
    </row>
    <row r="140" spans="1:11" ht="18" x14ac:dyDescent="0.35">
      <c r="A140" s="10" t="s">
        <v>136</v>
      </c>
    </row>
    <row r="141" spans="1:11" x14ac:dyDescent="0.3">
      <c r="B141" s="2" t="s">
        <v>20</v>
      </c>
      <c r="C141" s="2" t="s">
        <v>13</v>
      </c>
      <c r="D141" s="2" t="s">
        <v>17</v>
      </c>
      <c r="E141" s="2" t="s">
        <v>22</v>
      </c>
      <c r="F141" s="2" t="s">
        <v>18</v>
      </c>
      <c r="G141" s="2" t="s">
        <v>19</v>
      </c>
      <c r="H141" s="11"/>
    </row>
    <row r="142" spans="1:11" x14ac:dyDescent="0.3">
      <c r="A142" s="2" t="s">
        <v>54</v>
      </c>
      <c r="B142" s="47"/>
      <c r="C142" s="48"/>
      <c r="D142" s="48"/>
      <c r="E142" s="49"/>
      <c r="F142" s="6">
        <f>+B86+B107+B127</f>
        <v>2.4674644444444442E-2</v>
      </c>
      <c r="G142" s="2"/>
      <c r="H142" s="11"/>
    </row>
    <row r="143" spans="1:11" x14ac:dyDescent="0.3">
      <c r="A143" s="7" t="s">
        <v>28</v>
      </c>
      <c r="B143" s="2">
        <f>+$B$11/10000</f>
        <v>4.7950000000000007E-3</v>
      </c>
      <c r="C143" s="2">
        <v>0.97</v>
      </c>
      <c r="D143" s="2">
        <v>100</v>
      </c>
      <c r="E143" s="2"/>
      <c r="F143" s="6">
        <f t="shared" ref="F143:F145" si="6">+B143*C143*D143/360</f>
        <v>1.2919861111111114E-3</v>
      </c>
      <c r="G143" s="6"/>
      <c r="H143" s="12"/>
    </row>
    <row r="144" spans="1:11" x14ac:dyDescent="0.3">
      <c r="A144" s="7" t="s">
        <v>29</v>
      </c>
      <c r="B144" s="2">
        <f>+$B$12/10000</f>
        <v>2.1274000000000001E-2</v>
      </c>
      <c r="C144" s="2">
        <v>0.97</v>
      </c>
      <c r="D144" s="2">
        <v>100</v>
      </c>
      <c r="E144" s="2"/>
      <c r="F144" s="6">
        <f t="shared" si="6"/>
        <v>5.7321611111111111E-3</v>
      </c>
      <c r="G144" s="6"/>
      <c r="H144" s="12"/>
    </row>
    <row r="145" spans="1:11" x14ac:dyDescent="0.3">
      <c r="A145" s="2" t="s">
        <v>91</v>
      </c>
      <c r="B145" s="2">
        <f>(32+13)/10000</f>
        <v>4.4999999999999997E-3</v>
      </c>
      <c r="C145" s="2">
        <v>0.97</v>
      </c>
      <c r="D145" s="2">
        <v>100</v>
      </c>
      <c r="E145" s="19">
        <v>1</v>
      </c>
      <c r="F145" s="6">
        <f t="shared" si="6"/>
        <v>1.2125E-3</v>
      </c>
      <c r="G145" s="6"/>
      <c r="H145" s="12"/>
    </row>
    <row r="146" spans="1:11" x14ac:dyDescent="0.3">
      <c r="A146" s="11"/>
      <c r="B146" s="11"/>
      <c r="C146" s="11"/>
      <c r="D146" s="11"/>
      <c r="E146" s="11"/>
      <c r="F146" s="12"/>
      <c r="G146" s="12"/>
      <c r="H146" s="12"/>
    </row>
    <row r="147" spans="1:11" s="38" customFormat="1" x14ac:dyDescent="0.3">
      <c r="F147" s="39" t="s">
        <v>43</v>
      </c>
      <c r="G147" s="40">
        <f>+F142+F143+F144+F145</f>
        <v>3.2911291666666662E-2</v>
      </c>
      <c r="H147" s="41"/>
    </row>
    <row r="148" spans="1:11" x14ac:dyDescent="0.3">
      <c r="A148" s="1" t="s">
        <v>33</v>
      </c>
      <c r="B148" s="1"/>
      <c r="C148" s="1"/>
    </row>
    <row r="149" spans="1:11" x14ac:dyDescent="0.3">
      <c r="A149" s="5" t="s">
        <v>34</v>
      </c>
      <c r="B149" s="14">
        <f>+G147</f>
        <v>3.2911291666666662E-2</v>
      </c>
      <c r="C149" t="s">
        <v>15</v>
      </c>
    </row>
    <row r="150" spans="1:11" x14ac:dyDescent="0.3">
      <c r="A150" s="5" t="s">
        <v>44</v>
      </c>
      <c r="B150" s="7">
        <v>1.2999999999999999E-2</v>
      </c>
    </row>
    <row r="151" spans="1:11" x14ac:dyDescent="0.3">
      <c r="A151" s="5" t="s">
        <v>35</v>
      </c>
      <c r="B151" s="7">
        <v>0</v>
      </c>
    </row>
    <row r="152" spans="1:11" x14ac:dyDescent="0.3">
      <c r="A152" s="5" t="s">
        <v>36</v>
      </c>
      <c r="B152" s="7">
        <v>0.2</v>
      </c>
      <c r="C152" t="s">
        <v>49</v>
      </c>
    </row>
    <row r="153" spans="1:11" x14ac:dyDescent="0.3">
      <c r="A153" s="5" t="s">
        <v>38</v>
      </c>
      <c r="B153" s="7">
        <v>0.01</v>
      </c>
      <c r="C153" t="s">
        <v>50</v>
      </c>
    </row>
    <row r="154" spans="1:11" x14ac:dyDescent="0.3">
      <c r="A154" s="5" t="s">
        <v>64</v>
      </c>
      <c r="B154" s="7">
        <v>1.1599999999999999</v>
      </c>
      <c r="C154" t="s">
        <v>49</v>
      </c>
      <c r="G154" s="13"/>
      <c r="H154" s="13"/>
    </row>
    <row r="156" spans="1:11" x14ac:dyDescent="0.3">
      <c r="A156" s="8" t="s">
        <v>37</v>
      </c>
      <c r="B156" s="2" t="s">
        <v>38</v>
      </c>
      <c r="C156" s="5" t="s">
        <v>39</v>
      </c>
      <c r="D156" s="5" t="s">
        <v>40</v>
      </c>
      <c r="E156" s="5" t="s">
        <v>41</v>
      </c>
      <c r="F156" s="5" t="s">
        <v>34</v>
      </c>
      <c r="G156" s="17" t="s">
        <v>45</v>
      </c>
      <c r="H156" s="8" t="s">
        <v>60</v>
      </c>
      <c r="I156" s="17" t="s">
        <v>46</v>
      </c>
      <c r="J156" s="8" t="s">
        <v>101</v>
      </c>
      <c r="K156" s="8" t="s">
        <v>96</v>
      </c>
    </row>
    <row r="157" spans="1:11" x14ac:dyDescent="0.3">
      <c r="A157" s="9">
        <v>0.14205484623768561</v>
      </c>
      <c r="B157" s="4">
        <f>+B153</f>
        <v>0.01</v>
      </c>
      <c r="C157" s="2">
        <f>+A157*B152</f>
        <v>2.8410969247537124E-2</v>
      </c>
      <c r="D157" s="2">
        <f>+B152+2*A157</f>
        <v>0.48410969247537122</v>
      </c>
      <c r="E157" s="2">
        <f>C157/D157</f>
        <v>5.8687049007973571E-2</v>
      </c>
      <c r="F157" s="2">
        <f>C157*(E157^(2/3))*(B157^(1/2))/B150</f>
        <v>3.3004326835982152E-2</v>
      </c>
      <c r="G157" s="31">
        <f>ROUND(A157,2)</f>
        <v>0.14000000000000001</v>
      </c>
      <c r="H157" s="20">
        <f>+ROUND(G157,4)*100</f>
        <v>14.000000000000002</v>
      </c>
      <c r="I157" s="2">
        <f>4/5*B154</f>
        <v>0.92799999999999994</v>
      </c>
      <c r="J157" s="9">
        <f>+(B154-G157)*100</f>
        <v>102</v>
      </c>
      <c r="K157" s="20">
        <f>+B149/C157</f>
        <v>1.1584008760813276</v>
      </c>
    </row>
    <row r="159" spans="1:11" x14ac:dyDescent="0.3">
      <c r="F159" s="1" t="s">
        <v>47</v>
      </c>
      <c r="G159" s="1"/>
      <c r="H159" s="1"/>
      <c r="I159" s="1" t="str">
        <f>IF(G157&lt;I157,"CUMPLE","NO CUMPLE")</f>
        <v>CUMPLE</v>
      </c>
      <c r="J159" s="1"/>
    </row>
    <row r="160" spans="1:11" x14ac:dyDescent="0.3">
      <c r="F160" s="1" t="s">
        <v>97</v>
      </c>
      <c r="G160" s="1"/>
      <c r="I160" s="1" t="str">
        <f>+IF(K157&lt;3,"CUMPLE","Verificar Ancho")</f>
        <v>CUMPLE</v>
      </c>
      <c r="J160" s="1"/>
    </row>
    <row r="161" spans="1:10" x14ac:dyDescent="0.3">
      <c r="F161" s="1"/>
      <c r="G161" s="1"/>
      <c r="H161" s="1"/>
      <c r="I161" s="1"/>
      <c r="J161" s="1"/>
    </row>
    <row r="162" spans="1:10" ht="18" x14ac:dyDescent="0.35">
      <c r="A162" s="10" t="s">
        <v>137</v>
      </c>
    </row>
    <row r="163" spans="1:10" x14ac:dyDescent="0.3">
      <c r="B163" s="2" t="s">
        <v>20</v>
      </c>
      <c r="C163" s="2" t="s">
        <v>13</v>
      </c>
      <c r="D163" s="2" t="s">
        <v>17</v>
      </c>
      <c r="E163" s="2" t="s">
        <v>22</v>
      </c>
      <c r="F163" s="2" t="s">
        <v>18</v>
      </c>
      <c r="G163" s="2" t="s">
        <v>19</v>
      </c>
      <c r="H163" s="11"/>
    </row>
    <row r="164" spans="1:10" x14ac:dyDescent="0.3">
      <c r="A164" s="2" t="s">
        <v>54</v>
      </c>
      <c r="B164" s="47"/>
      <c r="C164" s="48"/>
      <c r="D164" s="48"/>
      <c r="E164" s="49"/>
      <c r="F164" s="6">
        <f>+B149</f>
        <v>3.2911291666666662E-2</v>
      </c>
      <c r="G164" s="2"/>
      <c r="H164" s="11"/>
    </row>
    <row r="165" spans="1:10" x14ac:dyDescent="0.3">
      <c r="A165" s="11"/>
      <c r="B165" s="11"/>
      <c r="C165" s="11"/>
      <c r="D165" s="11"/>
      <c r="E165" s="11"/>
      <c r="F165" s="12"/>
      <c r="G165" s="12"/>
      <c r="H165" s="12"/>
    </row>
    <row r="166" spans="1:10" s="38" customFormat="1" x14ac:dyDescent="0.3">
      <c r="F166" s="39" t="s">
        <v>43</v>
      </c>
      <c r="G166" s="40">
        <f>+F164</f>
        <v>3.2911291666666662E-2</v>
      </c>
      <c r="H166" s="41"/>
    </row>
    <row r="167" spans="1:10" x14ac:dyDescent="0.3">
      <c r="A167" s="1" t="s">
        <v>71</v>
      </c>
      <c r="B167" s="1"/>
      <c r="C167" s="1"/>
    </row>
    <row r="168" spans="1:10" x14ac:dyDescent="0.3">
      <c r="A168" s="5" t="s">
        <v>66</v>
      </c>
      <c r="B168" s="14">
        <f>+G166</f>
        <v>3.2911291666666662E-2</v>
      </c>
      <c r="C168" t="s">
        <v>15</v>
      </c>
    </row>
    <row r="169" spans="1:10" x14ac:dyDescent="0.3">
      <c r="A169" s="5" t="s">
        <v>56</v>
      </c>
      <c r="B169" s="7">
        <v>0.01</v>
      </c>
    </row>
    <row r="170" spans="1:10" ht="18" x14ac:dyDescent="0.35">
      <c r="A170" s="21" t="s">
        <v>93</v>
      </c>
      <c r="B170" s="15">
        <f>180*PI()/180</f>
        <v>3.1415926535897931</v>
      </c>
      <c r="C170" t="s">
        <v>58</v>
      </c>
    </row>
    <row r="171" spans="1:10" x14ac:dyDescent="0.3">
      <c r="A171" s="5" t="s">
        <v>38</v>
      </c>
      <c r="B171" s="7">
        <v>0.01</v>
      </c>
      <c r="C171" t="s">
        <v>50</v>
      </c>
    </row>
    <row r="172" spans="1:10" x14ac:dyDescent="0.3">
      <c r="A172" s="23" t="s">
        <v>57</v>
      </c>
      <c r="B172" s="22">
        <v>10</v>
      </c>
      <c r="C172" t="s">
        <v>65</v>
      </c>
      <c r="G172" s="13"/>
      <c r="H172" s="13"/>
    </row>
    <row r="174" spans="1:10" x14ac:dyDescent="0.3">
      <c r="A174" s="8" t="s">
        <v>57</v>
      </c>
      <c r="B174" s="2" t="s">
        <v>38</v>
      </c>
      <c r="C174" s="5" t="s">
        <v>39</v>
      </c>
      <c r="D174" s="5" t="s">
        <v>40</v>
      </c>
      <c r="E174" s="5" t="s">
        <v>41</v>
      </c>
      <c r="F174" s="8" t="s">
        <v>99</v>
      </c>
      <c r="G174" s="8" t="s">
        <v>96</v>
      </c>
    </row>
    <row r="175" spans="1:10" x14ac:dyDescent="0.3">
      <c r="A175" s="9">
        <f>+B172*0.0254</f>
        <v>0.254</v>
      </c>
      <c r="B175" s="2">
        <f>+B171</f>
        <v>0.01</v>
      </c>
      <c r="C175" s="4">
        <f>+((B170-SIN(B170))*(A175)^2)/8</f>
        <v>2.5335373954874889E-2</v>
      </c>
      <c r="D175" s="2">
        <f>+B170*A175/2</f>
        <v>0.39898226700590372</v>
      </c>
      <c r="E175" s="2">
        <f>(1-SIN(B170)/B170)*(A175)/4</f>
        <v>6.3500000000000001E-2</v>
      </c>
      <c r="F175" s="9">
        <f>C175*(E175^(2/3))*(B175^(1/2))/B169</f>
        <v>4.0325194346198773E-2</v>
      </c>
      <c r="G175" s="20">
        <f>+B168/C175</f>
        <v>1.2990252966182905</v>
      </c>
    </row>
    <row r="177" spans="1:10" x14ac:dyDescent="0.3">
      <c r="C177" s="1" t="s">
        <v>100</v>
      </c>
      <c r="D177" s="1"/>
      <c r="F177" s="1" t="str">
        <f>+IF(B168&lt;F175,"CUMPLE","NO CUMPLE")</f>
        <v>CUMPLE</v>
      </c>
      <c r="G177" s="1"/>
      <c r="H177" s="1"/>
      <c r="I177" s="1"/>
      <c r="J177" s="1"/>
    </row>
    <row r="178" spans="1:10" x14ac:dyDescent="0.3">
      <c r="C178" s="1" t="s">
        <v>98</v>
      </c>
      <c r="D178" s="1"/>
      <c r="F178" s="1" t="str">
        <f>+IF(G175&lt;5,"CUMPLE","Verificar Diametro")</f>
        <v>CUMPLE</v>
      </c>
      <c r="G178" s="1"/>
      <c r="H178" s="1"/>
      <c r="I178" s="1"/>
      <c r="J178" s="1"/>
    </row>
    <row r="179" spans="1:10" x14ac:dyDescent="0.3">
      <c r="C179" s="1" t="s">
        <v>69</v>
      </c>
      <c r="D179" s="1"/>
    </row>
    <row r="180" spans="1:10" x14ac:dyDescent="0.3">
      <c r="D180" s="27" t="s">
        <v>59</v>
      </c>
      <c r="E180" s="27">
        <f>IF(B168&lt;F175,A175/0.0254,"Modificar Diametro")</f>
        <v>10</v>
      </c>
      <c r="F180" s="27" t="s">
        <v>65</v>
      </c>
      <c r="H180" s="36" t="s">
        <v>133</v>
      </c>
    </row>
    <row r="181" spans="1:10" x14ac:dyDescent="0.3">
      <c r="D181" s="42"/>
      <c r="E181" s="42"/>
      <c r="F181" s="42"/>
    </row>
    <row r="182" spans="1:10" x14ac:dyDescent="0.3">
      <c r="F182" s="1"/>
      <c r="G182" s="1"/>
      <c r="H182" s="1"/>
      <c r="I182" s="1"/>
      <c r="J182" s="1"/>
    </row>
    <row r="183" spans="1:10" ht="18" x14ac:dyDescent="0.35">
      <c r="A183" s="10" t="s">
        <v>138</v>
      </c>
    </row>
    <row r="184" spans="1:10" x14ac:dyDescent="0.3">
      <c r="B184" s="2" t="s">
        <v>20</v>
      </c>
      <c r="C184" s="2" t="s">
        <v>13</v>
      </c>
      <c r="D184" s="2" t="s">
        <v>17</v>
      </c>
      <c r="E184" s="2" t="s">
        <v>22</v>
      </c>
      <c r="F184" s="2" t="s">
        <v>18</v>
      </c>
      <c r="G184" s="2" t="s">
        <v>19</v>
      </c>
      <c r="H184" s="11"/>
    </row>
    <row r="185" spans="1:10" x14ac:dyDescent="0.3">
      <c r="A185" s="2" t="s">
        <v>54</v>
      </c>
      <c r="B185" s="47"/>
      <c r="C185" s="48"/>
      <c r="D185" s="48"/>
      <c r="E185" s="49"/>
      <c r="F185" s="6">
        <f>+B168</f>
        <v>3.2911291666666662E-2</v>
      </c>
      <c r="G185" s="2"/>
      <c r="H185" s="11"/>
    </row>
    <row r="186" spans="1:10" x14ac:dyDescent="0.3">
      <c r="A186" s="11"/>
      <c r="B186" s="11"/>
      <c r="C186" s="11"/>
      <c r="D186" s="11"/>
      <c r="E186" s="11"/>
      <c r="F186" s="12"/>
      <c r="G186" s="12"/>
      <c r="H186" s="12"/>
    </row>
    <row r="187" spans="1:10" x14ac:dyDescent="0.3">
      <c r="F187" s="2" t="s">
        <v>43</v>
      </c>
      <c r="G187" s="6">
        <f>+F185</f>
        <v>3.2911291666666662E-2</v>
      </c>
      <c r="H187" s="12"/>
    </row>
    <row r="188" spans="1:10" x14ac:dyDescent="0.3">
      <c r="A188" s="1" t="s">
        <v>71</v>
      </c>
      <c r="B188" s="1"/>
      <c r="C188" s="1"/>
    </row>
    <row r="189" spans="1:10" x14ac:dyDescent="0.3">
      <c r="A189" s="5" t="s">
        <v>66</v>
      </c>
      <c r="B189" s="14">
        <f>+G187</f>
        <v>3.2911291666666662E-2</v>
      </c>
      <c r="C189" t="s">
        <v>15</v>
      </c>
    </row>
    <row r="190" spans="1:10" x14ac:dyDescent="0.3">
      <c r="A190" s="5" t="s">
        <v>56</v>
      </c>
      <c r="B190" s="7">
        <v>0.01</v>
      </c>
    </row>
    <row r="191" spans="1:10" ht="18" x14ac:dyDescent="0.35">
      <c r="A191" s="21" t="s">
        <v>93</v>
      </c>
      <c r="B191" s="15">
        <f>180*PI()/180</f>
        <v>3.1415926535897931</v>
      </c>
      <c r="C191" t="s">
        <v>58</v>
      </c>
    </row>
    <row r="192" spans="1:10" x14ac:dyDescent="0.3">
      <c r="A192" s="5" t="s">
        <v>38</v>
      </c>
      <c r="B192" s="7">
        <v>0.05</v>
      </c>
      <c r="C192" t="s">
        <v>50</v>
      </c>
    </row>
    <row r="193" spans="1:10" x14ac:dyDescent="0.3">
      <c r="A193" s="23" t="s">
        <v>57</v>
      </c>
      <c r="B193" s="22">
        <v>10</v>
      </c>
      <c r="C193" t="s">
        <v>65</v>
      </c>
      <c r="G193" s="13"/>
      <c r="H193" s="13"/>
    </row>
    <row r="195" spans="1:10" x14ac:dyDescent="0.3">
      <c r="A195" s="8" t="s">
        <v>57</v>
      </c>
      <c r="B195" s="2" t="s">
        <v>38</v>
      </c>
      <c r="C195" s="5" t="s">
        <v>39</v>
      </c>
      <c r="D195" s="5" t="s">
        <v>40</v>
      </c>
      <c r="E195" s="5" t="s">
        <v>41</v>
      </c>
      <c r="F195" s="8" t="s">
        <v>99</v>
      </c>
      <c r="G195" s="8" t="s">
        <v>96</v>
      </c>
    </row>
    <row r="196" spans="1:10" x14ac:dyDescent="0.3">
      <c r="A196" s="9">
        <f>+B193*0.0254</f>
        <v>0.254</v>
      </c>
      <c r="B196" s="2">
        <f>+B192</f>
        <v>0.05</v>
      </c>
      <c r="C196" s="4">
        <f>+((B191-SIN(B191))*(A196)^2)/8</f>
        <v>2.5335373954874889E-2</v>
      </c>
      <c r="D196" s="2">
        <f>+B191*A196/2</f>
        <v>0.39898226700590372</v>
      </c>
      <c r="E196" s="2">
        <f>(1-SIN(B191)/B191)*(A196)/4</f>
        <v>6.3500000000000001E-2</v>
      </c>
      <c r="F196" s="9">
        <f>C196*(E196^(2/3))*(B196^(1/2))/B190</f>
        <v>9.0169875763990645E-2</v>
      </c>
      <c r="G196" s="20">
        <f>+B189/C196</f>
        <v>1.2990252966182905</v>
      </c>
    </row>
    <row r="198" spans="1:10" x14ac:dyDescent="0.3">
      <c r="C198" s="1" t="s">
        <v>100</v>
      </c>
      <c r="D198" s="1"/>
      <c r="F198" s="1" t="str">
        <f>+IF(B189&lt;F196,"CUMPLE","NO CUMPLE")</f>
        <v>CUMPLE</v>
      </c>
      <c r="G198" s="1"/>
      <c r="H198" s="1"/>
      <c r="I198" s="1"/>
      <c r="J198" s="1"/>
    </row>
    <row r="199" spans="1:10" x14ac:dyDescent="0.3">
      <c r="C199" s="1" t="s">
        <v>98</v>
      </c>
      <c r="D199" s="1"/>
      <c r="F199" s="1" t="str">
        <f>+IF(G196&lt;5,"CUMPLE","Verificar Diametro")</f>
        <v>CUMPLE</v>
      </c>
      <c r="G199" s="1"/>
      <c r="H199" s="1"/>
      <c r="I199" s="1"/>
      <c r="J199" s="1"/>
    </row>
    <row r="200" spans="1:10" x14ac:dyDescent="0.3">
      <c r="C200" s="1" t="s">
        <v>69</v>
      </c>
      <c r="D200" s="1"/>
    </row>
    <row r="201" spans="1:10" x14ac:dyDescent="0.3">
      <c r="D201" s="27" t="s">
        <v>59</v>
      </c>
      <c r="E201" s="27">
        <f>IF(B189&lt;F196,A196/0.0254,"Modificar Diametro")</f>
        <v>10</v>
      </c>
      <c r="F201" s="27" t="s">
        <v>65</v>
      </c>
    </row>
    <row r="204" spans="1:10" ht="18" x14ac:dyDescent="0.35">
      <c r="A204" s="37" t="s">
        <v>139</v>
      </c>
    </row>
    <row r="205" spans="1:10" x14ac:dyDescent="0.3">
      <c r="B205" s="2" t="s">
        <v>20</v>
      </c>
      <c r="C205" s="2" t="s">
        <v>13</v>
      </c>
      <c r="D205" s="2" t="s">
        <v>17</v>
      </c>
      <c r="E205" s="2" t="s">
        <v>22</v>
      </c>
      <c r="F205" s="2" t="s">
        <v>18</v>
      </c>
      <c r="G205" s="2" t="s">
        <v>19</v>
      </c>
      <c r="H205" s="11"/>
    </row>
    <row r="206" spans="1:10" x14ac:dyDescent="0.3">
      <c r="A206" s="2" t="s">
        <v>54</v>
      </c>
      <c r="B206" s="47"/>
      <c r="C206" s="48"/>
      <c r="D206" s="48"/>
      <c r="E206" s="49"/>
      <c r="F206" s="6">
        <f>+B189</f>
        <v>3.2911291666666662E-2</v>
      </c>
      <c r="G206" s="2"/>
      <c r="H206" s="11"/>
    </row>
    <row r="207" spans="1:10" x14ac:dyDescent="0.3">
      <c r="A207" s="11"/>
      <c r="B207" s="11"/>
      <c r="C207" s="11"/>
      <c r="D207" s="11"/>
      <c r="E207" s="11"/>
      <c r="F207" s="12"/>
      <c r="G207" s="12"/>
      <c r="H207" s="12"/>
    </row>
    <row r="208" spans="1:10" s="38" customFormat="1" x14ac:dyDescent="0.3">
      <c r="F208" s="39" t="s">
        <v>43</v>
      </c>
      <c r="G208" s="40">
        <f>+F206</f>
        <v>3.2911291666666662E-2</v>
      </c>
      <c r="H208" s="41"/>
    </row>
    <row r="209" spans="1:10" x14ac:dyDescent="0.3">
      <c r="A209" s="1" t="s">
        <v>71</v>
      </c>
      <c r="B209" s="1"/>
      <c r="C209" s="1"/>
    </row>
    <row r="210" spans="1:10" x14ac:dyDescent="0.3">
      <c r="A210" s="5" t="s">
        <v>66</v>
      </c>
      <c r="B210" s="14">
        <f>+G208</f>
        <v>3.2911291666666662E-2</v>
      </c>
      <c r="C210" t="s">
        <v>15</v>
      </c>
    </row>
    <row r="211" spans="1:10" x14ac:dyDescent="0.3">
      <c r="A211" s="5" t="s">
        <v>56</v>
      </c>
      <c r="B211" s="7">
        <v>0.01</v>
      </c>
    </row>
    <row r="212" spans="1:10" ht="18" x14ac:dyDescent="0.35">
      <c r="A212" s="21" t="s">
        <v>68</v>
      </c>
      <c r="B212" s="15">
        <f>180*PI()/180</f>
        <v>3.1415926535897931</v>
      </c>
      <c r="C212" t="s">
        <v>58</v>
      </c>
    </row>
    <row r="213" spans="1:10" x14ac:dyDescent="0.3">
      <c r="A213" s="5" t="s">
        <v>38</v>
      </c>
      <c r="B213" s="7">
        <v>0.53210000000000002</v>
      </c>
      <c r="C213" t="s">
        <v>50</v>
      </c>
    </row>
    <row r="214" spans="1:10" x14ac:dyDescent="0.3">
      <c r="A214" s="23" t="s">
        <v>57</v>
      </c>
      <c r="B214" s="22">
        <v>10</v>
      </c>
      <c r="C214" t="s">
        <v>65</v>
      </c>
      <c r="G214" s="13"/>
      <c r="H214" s="13"/>
    </row>
    <row r="216" spans="1:10" x14ac:dyDescent="0.3">
      <c r="A216" s="8" t="s">
        <v>57</v>
      </c>
      <c r="B216" s="2" t="s">
        <v>38</v>
      </c>
      <c r="C216" s="5" t="s">
        <v>39</v>
      </c>
      <c r="D216" s="5" t="s">
        <v>40</v>
      </c>
      <c r="E216" s="5" t="s">
        <v>41</v>
      </c>
      <c r="F216" s="8" t="s">
        <v>99</v>
      </c>
      <c r="G216" s="8" t="s">
        <v>96</v>
      </c>
    </row>
    <row r="217" spans="1:10" x14ac:dyDescent="0.3">
      <c r="A217" s="9">
        <f>+B214*0.0254</f>
        <v>0.254</v>
      </c>
      <c r="B217" s="2">
        <f>+B213</f>
        <v>0.53210000000000002</v>
      </c>
      <c r="C217" s="4">
        <f>+((B212-SIN(B212))*(A217)^2)/8</f>
        <v>2.5335373954874889E-2</v>
      </c>
      <c r="D217" s="2">
        <f>+B212*A217/2</f>
        <v>0.39898226700590372</v>
      </c>
      <c r="E217" s="2">
        <f>(1-SIN(B212)/B212)*(A217)/4</f>
        <v>6.3500000000000001E-2</v>
      </c>
      <c r="F217" s="9">
        <f>C217*(E217^(2/3))*(B217^(1/2))/B211</f>
        <v>0.29415287576855936</v>
      </c>
      <c r="G217" s="20">
        <f>+B210/C217</f>
        <v>1.2990252966182905</v>
      </c>
    </row>
    <row r="219" spans="1:10" x14ac:dyDescent="0.3">
      <c r="C219" s="1" t="s">
        <v>100</v>
      </c>
      <c r="D219" s="1"/>
      <c r="F219" s="1" t="str">
        <f>+IF(B210&lt;F217,"CUMPLE","NO CUMPLE")</f>
        <v>CUMPLE</v>
      </c>
      <c r="G219" s="1"/>
      <c r="H219" s="1"/>
      <c r="I219" s="1"/>
      <c r="J219" s="1"/>
    </row>
    <row r="220" spans="1:10" x14ac:dyDescent="0.3">
      <c r="C220" s="1" t="s">
        <v>98</v>
      </c>
      <c r="D220" s="1"/>
      <c r="F220" s="1" t="str">
        <f>+IF(G217&lt;5,"CUMPLE","Verificar Diametro")</f>
        <v>CUMPLE</v>
      </c>
      <c r="G220" s="1"/>
      <c r="H220" s="1"/>
      <c r="I220" s="1"/>
      <c r="J220" s="1"/>
    </row>
    <row r="221" spans="1:10" x14ac:dyDescent="0.3">
      <c r="C221" s="1" t="s">
        <v>69</v>
      </c>
      <c r="D221" s="1"/>
    </row>
    <row r="222" spans="1:10" x14ac:dyDescent="0.3">
      <c r="D222" s="27" t="s">
        <v>59</v>
      </c>
      <c r="E222" s="27">
        <v>10</v>
      </c>
      <c r="F222" s="27" t="s">
        <v>65</v>
      </c>
    </row>
    <row r="223" spans="1:10" x14ac:dyDescent="0.3">
      <c r="F223" s="1"/>
      <c r="G223" s="1"/>
      <c r="H223" s="1"/>
      <c r="I223" s="1"/>
      <c r="J223" s="1"/>
    </row>
    <row r="224" spans="1:10" x14ac:dyDescent="0.3">
      <c r="F224" s="1"/>
      <c r="G224" s="1"/>
      <c r="H224" s="1"/>
      <c r="I224" s="1"/>
      <c r="J224" s="1"/>
    </row>
    <row r="225" spans="1:11" ht="18" x14ac:dyDescent="0.35">
      <c r="A225" s="10" t="s">
        <v>140</v>
      </c>
    </row>
    <row r="226" spans="1:11" x14ac:dyDescent="0.3">
      <c r="B226" s="2" t="s">
        <v>20</v>
      </c>
      <c r="C226" s="2" t="s">
        <v>13</v>
      </c>
      <c r="D226" s="2" t="s">
        <v>17</v>
      </c>
      <c r="E226" s="2" t="s">
        <v>22</v>
      </c>
      <c r="F226" s="2" t="s">
        <v>18</v>
      </c>
      <c r="G226" s="2" t="s">
        <v>19</v>
      </c>
      <c r="H226" s="11"/>
    </row>
    <row r="227" spans="1:11" x14ac:dyDescent="0.3">
      <c r="A227" s="2" t="s">
        <v>72</v>
      </c>
      <c r="B227" s="2">
        <f>(163*1.25)/10000</f>
        <v>2.0375000000000001E-2</v>
      </c>
      <c r="C227" s="2">
        <v>0.97</v>
      </c>
      <c r="D227" s="2">
        <v>100</v>
      </c>
      <c r="E227" s="2"/>
      <c r="F227" s="6">
        <f t="shared" ref="F227" si="7">+B227*C227*D227/360</f>
        <v>5.4899305555555552E-3</v>
      </c>
      <c r="G227" s="6"/>
      <c r="H227" s="12"/>
    </row>
    <row r="228" spans="1:11" x14ac:dyDescent="0.3">
      <c r="A228" s="11"/>
      <c r="B228" s="11"/>
      <c r="C228" s="11"/>
      <c r="D228" s="11"/>
      <c r="E228" s="11"/>
      <c r="F228" s="12"/>
      <c r="G228" s="12"/>
      <c r="H228" s="12"/>
    </row>
    <row r="229" spans="1:11" x14ac:dyDescent="0.3">
      <c r="F229" s="2" t="s">
        <v>43</v>
      </c>
      <c r="G229" s="6">
        <f>+F227</f>
        <v>5.4899305555555552E-3</v>
      </c>
      <c r="H229" s="12"/>
    </row>
    <row r="230" spans="1:11" x14ac:dyDescent="0.3">
      <c r="A230" s="1" t="s">
        <v>33</v>
      </c>
      <c r="B230" s="1"/>
      <c r="C230" s="1"/>
    </row>
    <row r="231" spans="1:11" x14ac:dyDescent="0.3">
      <c r="A231" s="5" t="s">
        <v>34</v>
      </c>
      <c r="B231" s="14">
        <f>+G229</f>
        <v>5.4899305555555552E-3</v>
      </c>
      <c r="C231" t="s">
        <v>15</v>
      </c>
    </row>
    <row r="232" spans="1:11" x14ac:dyDescent="0.3">
      <c r="A232" s="5" t="s">
        <v>44</v>
      </c>
      <c r="B232" s="7">
        <v>1.2999999999999999E-2</v>
      </c>
    </row>
    <row r="233" spans="1:11" x14ac:dyDescent="0.3">
      <c r="A233" s="5" t="s">
        <v>35</v>
      </c>
      <c r="B233" s="7">
        <v>0</v>
      </c>
    </row>
    <row r="234" spans="1:11" x14ac:dyDescent="0.3">
      <c r="A234" s="5" t="s">
        <v>36</v>
      </c>
      <c r="B234" s="7">
        <v>0.3</v>
      </c>
      <c r="C234" t="s">
        <v>49</v>
      </c>
    </row>
    <row r="235" spans="1:11" x14ac:dyDescent="0.3">
      <c r="A235" s="5" t="s">
        <v>38</v>
      </c>
      <c r="B235" s="7">
        <v>0.01</v>
      </c>
      <c r="C235" t="s">
        <v>50</v>
      </c>
    </row>
    <row r="236" spans="1:11" x14ac:dyDescent="0.3">
      <c r="A236" s="5" t="s">
        <v>48</v>
      </c>
      <c r="B236" s="7">
        <v>0.56000000000000005</v>
      </c>
      <c r="C236" t="s">
        <v>49</v>
      </c>
      <c r="G236" s="13"/>
      <c r="H236" s="13"/>
    </row>
    <row r="238" spans="1:11" x14ac:dyDescent="0.3">
      <c r="A238" s="8" t="s">
        <v>37</v>
      </c>
      <c r="B238" s="2" t="s">
        <v>38</v>
      </c>
      <c r="C238" s="5" t="s">
        <v>39</v>
      </c>
      <c r="D238" s="5" t="s">
        <v>40</v>
      </c>
      <c r="E238" s="5" t="s">
        <v>41</v>
      </c>
      <c r="F238" s="5" t="s">
        <v>34</v>
      </c>
      <c r="G238" s="17" t="s">
        <v>45</v>
      </c>
      <c r="H238" s="8" t="s">
        <v>60</v>
      </c>
      <c r="I238" s="17" t="s">
        <v>46</v>
      </c>
      <c r="J238" s="8" t="s">
        <v>101</v>
      </c>
      <c r="K238" s="8" t="s">
        <v>96</v>
      </c>
    </row>
    <row r="239" spans="1:11" x14ac:dyDescent="0.3">
      <c r="A239" s="9">
        <v>2.9264974312129252E-2</v>
      </c>
      <c r="B239" s="4">
        <f>+B235</f>
        <v>0.01</v>
      </c>
      <c r="C239" s="2">
        <f>+A239*B234</f>
        <v>8.7794922936387746E-3</v>
      </c>
      <c r="D239" s="2">
        <f>+B234+2*A239</f>
        <v>0.35852994862425847</v>
      </c>
      <c r="E239" s="2">
        <f>C239/D239</f>
        <v>2.4487472601179366E-2</v>
      </c>
      <c r="F239" s="2">
        <f>C239*(E239^(2/3))*(B239^(1/2))/B232</f>
        <v>5.6949339528586706E-3</v>
      </c>
      <c r="G239" s="31">
        <f>ROUND(A239,2)</f>
        <v>0.03</v>
      </c>
      <c r="H239" s="20">
        <f>+ROUND(G239,4)*100</f>
        <v>3</v>
      </c>
      <c r="I239" s="2">
        <f>4/5*B236</f>
        <v>0.44800000000000006</v>
      </c>
      <c r="J239" s="9">
        <f>+(B236-G239)*100</f>
        <v>53</v>
      </c>
      <c r="K239" s="20">
        <f>+B231/C239</f>
        <v>0.62531298757825804</v>
      </c>
    </row>
    <row r="241" spans="1:10" x14ac:dyDescent="0.3">
      <c r="F241" s="1" t="s">
        <v>47</v>
      </c>
      <c r="G241" s="1"/>
      <c r="H241" s="1"/>
      <c r="I241" s="1" t="str">
        <f>IF(G239&lt;I239,"CUMPLE","NO CUMPLE")</f>
        <v>CUMPLE</v>
      </c>
      <c r="J241" s="1"/>
    </row>
    <row r="242" spans="1:10" x14ac:dyDescent="0.3">
      <c r="F242" s="1" t="s">
        <v>97</v>
      </c>
      <c r="G242" s="1"/>
      <c r="I242" s="1" t="str">
        <f>+IF(K239&lt;3,"CUMPLE","Verificar Ancho")</f>
        <v>CUMPLE</v>
      </c>
      <c r="J242" s="1"/>
    </row>
    <row r="244" spans="1:10" ht="18" hidden="1" x14ac:dyDescent="0.35">
      <c r="A244" s="26" t="s">
        <v>92</v>
      </c>
    </row>
    <row r="245" spans="1:10" hidden="1" x14ac:dyDescent="0.3">
      <c r="B245" s="2" t="s">
        <v>20</v>
      </c>
      <c r="C245" s="2" t="s">
        <v>13</v>
      </c>
      <c r="D245" s="2" t="s">
        <v>17</v>
      </c>
      <c r="E245" s="2" t="s">
        <v>22</v>
      </c>
      <c r="F245" s="2" t="s">
        <v>18</v>
      </c>
      <c r="G245" s="2" t="s">
        <v>19</v>
      </c>
      <c r="H245" s="11"/>
    </row>
    <row r="246" spans="1:10" hidden="1" x14ac:dyDescent="0.3">
      <c r="A246" s="7" t="s">
        <v>73</v>
      </c>
      <c r="B246" s="2">
        <f>42/10000</f>
        <v>4.1999999999999997E-3</v>
      </c>
      <c r="C246" s="2">
        <v>0.97</v>
      </c>
      <c r="D246" s="2">
        <v>100</v>
      </c>
      <c r="E246" s="2"/>
      <c r="F246" s="6">
        <f t="shared" ref="F246" si="8">+B246*C246*D246/360</f>
        <v>1.1316666666666665E-3</v>
      </c>
      <c r="G246" s="6"/>
      <c r="H246" s="12"/>
    </row>
    <row r="247" spans="1:10" hidden="1" x14ac:dyDescent="0.3">
      <c r="A247" s="11"/>
      <c r="B247" s="11"/>
      <c r="C247" s="11"/>
      <c r="D247" s="11"/>
      <c r="E247" s="11"/>
      <c r="F247" s="12"/>
      <c r="G247" s="12"/>
      <c r="H247" s="12"/>
    </row>
    <row r="248" spans="1:10" hidden="1" x14ac:dyDescent="0.3">
      <c r="F248" s="2" t="s">
        <v>43</v>
      </c>
      <c r="G248" s="6">
        <f>+F246</f>
        <v>1.1316666666666665E-3</v>
      </c>
      <c r="H248" s="12"/>
    </row>
    <row r="249" spans="1:10" hidden="1" x14ac:dyDescent="0.3">
      <c r="A249" s="1" t="s">
        <v>33</v>
      </c>
      <c r="B249" s="1"/>
      <c r="C249" s="1"/>
    </row>
    <row r="250" spans="1:10" hidden="1" x14ac:dyDescent="0.3">
      <c r="A250" s="5" t="s">
        <v>34</v>
      </c>
      <c r="B250" s="14">
        <f>+G248</f>
        <v>1.1316666666666665E-3</v>
      </c>
      <c r="C250" t="s">
        <v>15</v>
      </c>
    </row>
    <row r="251" spans="1:10" hidden="1" x14ac:dyDescent="0.3">
      <c r="A251" s="5" t="s">
        <v>44</v>
      </c>
      <c r="B251" s="7">
        <v>1.2999999999999999E-2</v>
      </c>
    </row>
    <row r="252" spans="1:10" hidden="1" x14ac:dyDescent="0.3">
      <c r="A252" s="5" t="s">
        <v>35</v>
      </c>
      <c r="B252" s="7">
        <v>0</v>
      </c>
    </row>
    <row r="253" spans="1:10" hidden="1" x14ac:dyDescent="0.3">
      <c r="A253" s="5" t="s">
        <v>36</v>
      </c>
      <c r="B253" s="7">
        <v>0.3</v>
      </c>
      <c r="C253" t="s">
        <v>49</v>
      </c>
    </row>
    <row r="254" spans="1:10" hidden="1" x14ac:dyDescent="0.3">
      <c r="A254" s="5" t="s">
        <v>38</v>
      </c>
      <c r="B254" s="7">
        <v>0.01</v>
      </c>
      <c r="C254" t="s">
        <v>50</v>
      </c>
    </row>
    <row r="255" spans="1:10" hidden="1" x14ac:dyDescent="0.3">
      <c r="A255" s="5" t="s">
        <v>48</v>
      </c>
      <c r="B255" s="7">
        <v>0.3</v>
      </c>
      <c r="C255" t="s">
        <v>49</v>
      </c>
      <c r="G255" s="13"/>
      <c r="H255" s="13"/>
    </row>
    <row r="256" spans="1:10" hidden="1" x14ac:dyDescent="0.3"/>
    <row r="257" spans="1:10" hidden="1" x14ac:dyDescent="0.3">
      <c r="A257" s="8" t="s">
        <v>37</v>
      </c>
      <c r="B257" s="2" t="s">
        <v>38</v>
      </c>
      <c r="C257" s="5" t="s">
        <v>39</v>
      </c>
      <c r="D257" s="5" t="s">
        <v>40</v>
      </c>
      <c r="E257" s="5" t="s">
        <v>41</v>
      </c>
      <c r="F257" s="5" t="s">
        <v>34</v>
      </c>
      <c r="G257" s="8" t="s">
        <v>45</v>
      </c>
      <c r="H257" s="8" t="s">
        <v>60</v>
      </c>
      <c r="I257" s="17" t="s">
        <v>46</v>
      </c>
      <c r="J257" s="33"/>
    </row>
    <row r="258" spans="1:10" hidden="1" x14ac:dyDescent="0.3">
      <c r="A258" s="9">
        <v>1.5021800547145378E-2</v>
      </c>
      <c r="B258" s="4">
        <f>+B254</f>
        <v>0.01</v>
      </c>
      <c r="C258" s="2">
        <f>+A258*B253</f>
        <v>4.5065401641436135E-3</v>
      </c>
      <c r="D258" s="2">
        <f>+B253+2*A258</f>
        <v>0.33004360109429076</v>
      </c>
      <c r="E258" s="2">
        <f>C258/D258</f>
        <v>1.365437823730487E-2</v>
      </c>
      <c r="F258" s="2">
        <f>C258*(E258^(2/3))*(B258^(1/2))/B251</f>
        <v>1.9803768749207533E-3</v>
      </c>
      <c r="G258" s="16">
        <f>ROUND(A258,2)</f>
        <v>0.02</v>
      </c>
      <c r="H258" s="20">
        <f>+ROUND(G258,4)*100</f>
        <v>2</v>
      </c>
      <c r="I258" s="2">
        <f>4/5*B255</f>
        <v>0.24</v>
      </c>
      <c r="J258" s="11"/>
    </row>
    <row r="259" spans="1:10" hidden="1" x14ac:dyDescent="0.3"/>
    <row r="260" spans="1:10" hidden="1" x14ac:dyDescent="0.3">
      <c r="F260" s="1" t="s">
        <v>47</v>
      </c>
      <c r="G260" s="1"/>
      <c r="H260" s="1"/>
      <c r="I260" s="1" t="str">
        <f>IF(G258&lt;I258,"CUMPLE","NO CUMPLE")</f>
        <v>CUMPLE</v>
      </c>
      <c r="J260" s="1"/>
    </row>
    <row r="261" spans="1:10" hidden="1" x14ac:dyDescent="0.3"/>
    <row r="263" spans="1:10" ht="18" x14ac:dyDescent="0.35">
      <c r="A263" s="37" t="s">
        <v>141</v>
      </c>
    </row>
    <row r="264" spans="1:10" x14ac:dyDescent="0.3">
      <c r="B264" s="2" t="s">
        <v>20</v>
      </c>
      <c r="C264" s="2" t="s">
        <v>13</v>
      </c>
      <c r="D264" s="2" t="s">
        <v>17</v>
      </c>
      <c r="E264" s="2" t="s">
        <v>22</v>
      </c>
      <c r="F264" s="2" t="s">
        <v>18</v>
      </c>
      <c r="G264" s="2" t="s">
        <v>19</v>
      </c>
    </row>
    <row r="265" spans="1:10" x14ac:dyDescent="0.3">
      <c r="A265" s="2" t="s">
        <v>54</v>
      </c>
      <c r="B265" s="47"/>
      <c r="C265" s="48"/>
      <c r="D265" s="48"/>
      <c r="E265" s="49"/>
      <c r="F265" s="6">
        <f>+B231</f>
        <v>5.4899305555555552E-3</v>
      </c>
      <c r="G265" s="2"/>
    </row>
    <row r="266" spans="1:10" x14ac:dyDescent="0.3">
      <c r="A266" s="7" t="s">
        <v>73</v>
      </c>
      <c r="B266" s="2">
        <f>(42*1.25)/10000</f>
        <v>5.2500000000000003E-3</v>
      </c>
      <c r="C266" s="2">
        <v>0.97</v>
      </c>
      <c r="D266" s="2">
        <v>100</v>
      </c>
      <c r="E266" s="2"/>
      <c r="F266" s="6">
        <f t="shared" ref="F266" si="9">+B266*C266*D266/360</f>
        <v>1.4145833333333332E-3</v>
      </c>
      <c r="G266" s="6"/>
    </row>
    <row r="267" spans="1:10" x14ac:dyDescent="0.3">
      <c r="A267" s="11"/>
      <c r="B267" s="11"/>
      <c r="C267" s="11"/>
      <c r="D267" s="11"/>
      <c r="E267" s="11"/>
      <c r="F267" s="12"/>
      <c r="G267" s="12"/>
    </row>
    <row r="268" spans="1:10" x14ac:dyDescent="0.3">
      <c r="F268" s="2" t="s">
        <v>43</v>
      </c>
      <c r="G268" s="6">
        <f>+F265+F266</f>
        <v>6.9045138888888889E-3</v>
      </c>
    </row>
    <row r="269" spans="1:10" x14ac:dyDescent="0.3">
      <c r="A269" s="1" t="s">
        <v>71</v>
      </c>
      <c r="B269" s="1"/>
      <c r="C269" s="1"/>
    </row>
    <row r="270" spans="1:10" x14ac:dyDescent="0.3">
      <c r="A270" s="5" t="s">
        <v>66</v>
      </c>
      <c r="B270" s="14">
        <f>+G268</f>
        <v>6.9045138888888889E-3</v>
      </c>
      <c r="C270" t="s">
        <v>15</v>
      </c>
    </row>
    <row r="271" spans="1:10" x14ac:dyDescent="0.3">
      <c r="A271" s="5" t="s">
        <v>56</v>
      </c>
      <c r="B271" s="7">
        <v>0.01</v>
      </c>
    </row>
    <row r="272" spans="1:10" ht="18" x14ac:dyDescent="0.35">
      <c r="A272" s="21" t="s">
        <v>93</v>
      </c>
      <c r="B272" s="15">
        <f>180*PI()/180</f>
        <v>3.1415926535897931</v>
      </c>
      <c r="C272" t="s">
        <v>58</v>
      </c>
    </row>
    <row r="273" spans="1:8" x14ac:dyDescent="0.3">
      <c r="A273" s="5" t="s">
        <v>38</v>
      </c>
      <c r="B273" s="7">
        <v>5.57E-2</v>
      </c>
      <c r="C273" t="s">
        <v>50</v>
      </c>
    </row>
    <row r="274" spans="1:8" x14ac:dyDescent="0.3">
      <c r="A274" s="23" t="s">
        <v>57</v>
      </c>
      <c r="B274" s="22">
        <v>6</v>
      </c>
      <c r="C274" t="s">
        <v>65</v>
      </c>
      <c r="G274" s="13"/>
    </row>
    <row r="276" spans="1:8" x14ac:dyDescent="0.3">
      <c r="A276" s="8" t="s">
        <v>57</v>
      </c>
      <c r="B276" s="2" t="s">
        <v>38</v>
      </c>
      <c r="C276" s="5" t="s">
        <v>39</v>
      </c>
      <c r="D276" s="5" t="s">
        <v>40</v>
      </c>
      <c r="E276" s="5" t="s">
        <v>41</v>
      </c>
      <c r="F276" s="8" t="s">
        <v>99</v>
      </c>
      <c r="G276" s="8" t="s">
        <v>96</v>
      </c>
    </row>
    <row r="277" spans="1:8" x14ac:dyDescent="0.3">
      <c r="A277" s="9">
        <f>+B274*0.0254</f>
        <v>0.15239999999999998</v>
      </c>
      <c r="B277" s="2">
        <f>+B273</f>
        <v>5.57E-2</v>
      </c>
      <c r="C277" s="4">
        <f>+((B272-SIN(B272))*(A277)^2)/8</f>
        <v>9.1207346237549575E-3</v>
      </c>
      <c r="D277" s="2">
        <f>+B272*A277/2</f>
        <v>0.23938936020354221</v>
      </c>
      <c r="E277" s="2">
        <f>(1-SIN(B272)/B272)*(A277)/4</f>
        <v>3.8099999999999995E-2</v>
      </c>
      <c r="F277" s="9">
        <f>C277*(E277^(2/3))*(B277^(1/2))/B271</f>
        <v>2.4372910913298389E-2</v>
      </c>
      <c r="G277" s="20">
        <f>+B270/C277</f>
        <v>0.75701291329166398</v>
      </c>
    </row>
    <row r="279" spans="1:8" x14ac:dyDescent="0.3">
      <c r="C279" s="1" t="s">
        <v>100</v>
      </c>
      <c r="D279" s="1"/>
      <c r="F279" s="1" t="str">
        <f>+IF(B270&lt;F277,"CUMPLE","NO CUMPLE")</f>
        <v>CUMPLE</v>
      </c>
      <c r="G279" s="1"/>
    </row>
    <row r="280" spans="1:8" x14ac:dyDescent="0.3">
      <c r="C280" s="1" t="s">
        <v>98</v>
      </c>
      <c r="D280" s="1"/>
      <c r="F280" s="1" t="str">
        <f>+IF(G277&lt;5,"CUMPLE","Verificar Diametro")</f>
        <v>CUMPLE</v>
      </c>
      <c r="G280" s="1"/>
    </row>
    <row r="281" spans="1:8" x14ac:dyDescent="0.3">
      <c r="C281" s="1" t="s">
        <v>69</v>
      </c>
      <c r="D281" s="1"/>
    </row>
    <row r="282" spans="1:8" x14ac:dyDescent="0.3">
      <c r="D282" s="27" t="s">
        <v>59</v>
      </c>
      <c r="E282" s="27">
        <f>IF(B270&lt;F277,A277/0.0254,"Modificar Diametro")</f>
        <v>5.9999999999999991</v>
      </c>
      <c r="F282" s="27" t="s">
        <v>65</v>
      </c>
    </row>
    <row r="285" spans="1:8" ht="18" x14ac:dyDescent="0.35">
      <c r="A285" s="10" t="s">
        <v>142</v>
      </c>
      <c r="H285" s="11"/>
    </row>
    <row r="286" spans="1:8" x14ac:dyDescent="0.3">
      <c r="B286" s="2" t="s">
        <v>20</v>
      </c>
      <c r="C286" s="2" t="s">
        <v>13</v>
      </c>
      <c r="D286" s="2" t="s">
        <v>17</v>
      </c>
      <c r="E286" s="2" t="s">
        <v>22</v>
      </c>
      <c r="F286" s="2" t="s">
        <v>18</v>
      </c>
      <c r="G286" s="2" t="s">
        <v>19</v>
      </c>
      <c r="H286" s="11"/>
    </row>
    <row r="287" spans="1:8" x14ac:dyDescent="0.3">
      <c r="A287" s="7" t="s">
        <v>26</v>
      </c>
      <c r="B287" s="2">
        <f>+$B$9/10000</f>
        <v>4.0448000000000005E-2</v>
      </c>
      <c r="C287" s="2">
        <v>0.97</v>
      </c>
      <c r="D287" s="2">
        <v>100</v>
      </c>
      <c r="E287" s="2">
        <v>5</v>
      </c>
      <c r="F287" s="6">
        <f t="shared" ref="F287" si="10">+B287*C287*D287/360</f>
        <v>1.0898488888888889E-2</v>
      </c>
      <c r="G287" s="6">
        <f t="shared" ref="G287" si="11">+F287/E287</f>
        <v>2.1796977777777779E-3</v>
      </c>
      <c r="H287" s="12"/>
    </row>
    <row r="288" spans="1:8" x14ac:dyDescent="0.3">
      <c r="A288" s="2" t="s">
        <v>74</v>
      </c>
      <c r="B288" s="2">
        <f>(37)/10000</f>
        <v>3.7000000000000002E-3</v>
      </c>
      <c r="C288" s="2">
        <v>0.97</v>
      </c>
      <c r="D288" s="2">
        <v>100</v>
      </c>
      <c r="E288" s="19">
        <v>1</v>
      </c>
      <c r="F288" s="6">
        <f t="shared" ref="F288" si="12">+B288*C288*D288/360</f>
        <v>9.969444444444444E-4</v>
      </c>
      <c r="G288" s="6"/>
      <c r="H288" s="12"/>
    </row>
    <row r="289" spans="1:11" x14ac:dyDescent="0.3">
      <c r="A289" s="11"/>
      <c r="B289" s="11"/>
      <c r="C289" s="11"/>
      <c r="D289" s="11"/>
      <c r="E289" s="11"/>
      <c r="F289" s="12"/>
      <c r="G289" s="12"/>
    </row>
    <row r="290" spans="1:11" x14ac:dyDescent="0.3">
      <c r="F290" s="2" t="s">
        <v>43</v>
      </c>
      <c r="G290" s="6">
        <f>+G287+F288</f>
        <v>3.1766422222222223E-3</v>
      </c>
    </row>
    <row r="291" spans="1:11" x14ac:dyDescent="0.3">
      <c r="A291" s="1" t="s">
        <v>33</v>
      </c>
      <c r="B291" s="1"/>
      <c r="C291" s="1"/>
    </row>
    <row r="292" spans="1:11" x14ac:dyDescent="0.3">
      <c r="A292" s="5" t="s">
        <v>34</v>
      </c>
      <c r="B292" s="14">
        <f>+G290</f>
        <v>3.1766422222222223E-3</v>
      </c>
      <c r="C292" t="s">
        <v>15</v>
      </c>
    </row>
    <row r="293" spans="1:11" x14ac:dyDescent="0.3">
      <c r="A293" s="5" t="s">
        <v>44</v>
      </c>
      <c r="B293" s="7">
        <v>1.2999999999999999E-2</v>
      </c>
    </row>
    <row r="294" spans="1:11" x14ac:dyDescent="0.3">
      <c r="A294" s="5" t="s">
        <v>35</v>
      </c>
      <c r="B294" s="7">
        <v>0</v>
      </c>
    </row>
    <row r="295" spans="1:11" x14ac:dyDescent="0.3">
      <c r="A295" s="5" t="s">
        <v>36</v>
      </c>
      <c r="B295" s="7">
        <v>0.2</v>
      </c>
      <c r="C295" t="s">
        <v>49</v>
      </c>
      <c r="H295" s="13"/>
    </row>
    <row r="296" spans="1:11" x14ac:dyDescent="0.3">
      <c r="A296" s="5" t="s">
        <v>38</v>
      </c>
      <c r="B296" s="7">
        <v>5.0000000000000001E-3</v>
      </c>
      <c r="C296" t="s">
        <v>50</v>
      </c>
    </row>
    <row r="297" spans="1:11" x14ac:dyDescent="0.3">
      <c r="A297" s="5" t="s">
        <v>81</v>
      </c>
      <c r="B297" s="7">
        <v>0.7</v>
      </c>
      <c r="C297" t="s">
        <v>49</v>
      </c>
      <c r="G297" s="13"/>
    </row>
    <row r="299" spans="1:11" x14ac:dyDescent="0.3">
      <c r="A299" s="8" t="s">
        <v>37</v>
      </c>
      <c r="B299" s="2" t="s">
        <v>38</v>
      </c>
      <c r="C299" s="5" t="s">
        <v>39</v>
      </c>
      <c r="D299" s="5" t="s">
        <v>40</v>
      </c>
      <c r="E299" s="5" t="s">
        <v>41</v>
      </c>
      <c r="F299" s="5" t="s">
        <v>34</v>
      </c>
      <c r="G299" s="17" t="s">
        <v>45</v>
      </c>
      <c r="H299" s="8" t="s">
        <v>60</v>
      </c>
      <c r="I299" s="17" t="s">
        <v>46</v>
      </c>
      <c r="J299" s="8" t="s">
        <v>101</v>
      </c>
      <c r="K299" s="8" t="s">
        <v>96</v>
      </c>
    </row>
    <row r="300" spans="1:11" x14ac:dyDescent="0.3">
      <c r="A300" s="9">
        <v>2.8532111150457451E-2</v>
      </c>
      <c r="B300" s="4">
        <f>+B296</f>
        <v>5.0000000000000001E-3</v>
      </c>
      <c r="C300" s="2">
        <f>+A300*B295</f>
        <v>5.7064222300914902E-3</v>
      </c>
      <c r="D300" s="2">
        <f>+B295+2*A300</f>
        <v>0.25706422230091491</v>
      </c>
      <c r="E300" s="2">
        <f>C300/D300</f>
        <v>2.2198430333925084E-2</v>
      </c>
      <c r="F300" s="2">
        <f>C300*(E300^(2/3))*(B300^(1/2))/B293</f>
        <v>2.4516232438395306E-3</v>
      </c>
      <c r="G300" s="31">
        <f>ROUND(A300,2)</f>
        <v>0.03</v>
      </c>
      <c r="H300" s="20">
        <f>+ROUND(G300,4)*100</f>
        <v>3</v>
      </c>
      <c r="I300" s="2">
        <f>4/5*B297</f>
        <v>0.55999999999999994</v>
      </c>
      <c r="J300" s="9">
        <f>+(B297-G300)*100</f>
        <v>67</v>
      </c>
      <c r="K300" s="20">
        <f>+B292/C300</f>
        <v>0.55667843950819806</v>
      </c>
    </row>
    <row r="302" spans="1:11" x14ac:dyDescent="0.3">
      <c r="F302" s="1" t="s">
        <v>47</v>
      </c>
      <c r="G302" s="1"/>
      <c r="H302" s="1"/>
      <c r="I302" s="1" t="str">
        <f>IF(G300&lt;I300,"CUMPLE","NO CUMPLE")</f>
        <v>CUMPLE</v>
      </c>
      <c r="J302" s="1"/>
    </row>
    <row r="303" spans="1:11" x14ac:dyDescent="0.3">
      <c r="F303" s="1" t="s">
        <v>97</v>
      </c>
      <c r="G303" s="1"/>
      <c r="I303" s="1" t="str">
        <f>+IF(K300&lt;3,"CUMPLE","Verificar Ancho")</f>
        <v>CUMPLE</v>
      </c>
      <c r="J303" s="1"/>
    </row>
    <row r="306" spans="1:8" ht="18" x14ac:dyDescent="0.35">
      <c r="A306" s="10" t="s">
        <v>143</v>
      </c>
    </row>
    <row r="307" spans="1:8" x14ac:dyDescent="0.3">
      <c r="B307" s="2" t="s">
        <v>20</v>
      </c>
      <c r="C307" s="2" t="s">
        <v>13</v>
      </c>
      <c r="D307" s="2" t="s">
        <v>17</v>
      </c>
      <c r="E307" s="2" t="s">
        <v>22</v>
      </c>
      <c r="F307" s="2" t="s">
        <v>18</v>
      </c>
      <c r="G307" s="2" t="s">
        <v>19</v>
      </c>
    </row>
    <row r="308" spans="1:8" x14ac:dyDescent="0.3">
      <c r="A308" s="2" t="s">
        <v>54</v>
      </c>
      <c r="B308" s="47"/>
      <c r="C308" s="48"/>
      <c r="D308" s="48"/>
      <c r="E308" s="49"/>
      <c r="F308" s="6">
        <f>+B292</f>
        <v>3.1766422222222223E-3</v>
      </c>
      <c r="G308" s="2"/>
    </row>
    <row r="309" spans="1:8" x14ac:dyDescent="0.3">
      <c r="A309" s="7" t="s">
        <v>26</v>
      </c>
      <c r="B309" s="2">
        <f>+$B$9/10000</f>
        <v>4.0448000000000005E-2</v>
      </c>
      <c r="C309" s="2">
        <v>0.97</v>
      </c>
      <c r="D309" s="2">
        <v>100</v>
      </c>
      <c r="E309" s="2">
        <v>5</v>
      </c>
      <c r="F309" s="6">
        <f t="shared" ref="F309" si="13">+B309*C309*D309/360</f>
        <v>1.0898488888888889E-2</v>
      </c>
      <c r="G309" s="6">
        <f t="shared" ref="G309" si="14">+F309/E309</f>
        <v>2.1796977777777779E-3</v>
      </c>
      <c r="H309" s="12"/>
    </row>
    <row r="310" spans="1:8" x14ac:dyDescent="0.3">
      <c r="A310" s="11"/>
      <c r="B310" s="11"/>
      <c r="C310" s="11"/>
      <c r="D310" s="11"/>
      <c r="E310" s="11"/>
      <c r="F310" s="12"/>
      <c r="G310" s="12"/>
    </row>
    <row r="311" spans="1:8" x14ac:dyDescent="0.3">
      <c r="F311" s="2" t="s">
        <v>43</v>
      </c>
      <c r="G311" s="6">
        <f>+F308+G309</f>
        <v>5.3563400000000002E-3</v>
      </c>
    </row>
    <row r="312" spans="1:8" x14ac:dyDescent="0.3">
      <c r="A312" s="1" t="s">
        <v>71</v>
      </c>
      <c r="B312" s="1"/>
      <c r="C312" s="1"/>
    </row>
    <row r="313" spans="1:8" x14ac:dyDescent="0.3">
      <c r="A313" s="5" t="s">
        <v>66</v>
      </c>
      <c r="B313" s="14">
        <f>+G311</f>
        <v>5.3563400000000002E-3</v>
      </c>
      <c r="C313" t="s">
        <v>15</v>
      </c>
    </row>
    <row r="314" spans="1:8" x14ac:dyDescent="0.3">
      <c r="A314" s="5" t="s">
        <v>56</v>
      </c>
      <c r="B314" s="7">
        <v>0.01</v>
      </c>
    </row>
    <row r="315" spans="1:8" ht="18" x14ac:dyDescent="0.35">
      <c r="A315" s="21" t="s">
        <v>68</v>
      </c>
      <c r="B315" s="15">
        <f>300*PI()/180</f>
        <v>5.2359877559829888</v>
      </c>
      <c r="C315" t="s">
        <v>58</v>
      </c>
    </row>
    <row r="316" spans="1:8" x14ac:dyDescent="0.3">
      <c r="A316" s="5" t="s">
        <v>38</v>
      </c>
      <c r="B316" s="7">
        <v>0.01</v>
      </c>
      <c r="C316" t="s">
        <v>50</v>
      </c>
    </row>
    <row r="317" spans="1:8" x14ac:dyDescent="0.3">
      <c r="A317" s="23" t="s">
        <v>57</v>
      </c>
      <c r="B317" s="22">
        <v>4</v>
      </c>
      <c r="C317" t="s">
        <v>65</v>
      </c>
      <c r="G317" s="13"/>
    </row>
    <row r="319" spans="1:8" x14ac:dyDescent="0.3">
      <c r="A319" s="8" t="s">
        <v>57</v>
      </c>
      <c r="B319" s="2" t="s">
        <v>38</v>
      </c>
      <c r="C319" s="5" t="s">
        <v>39</v>
      </c>
      <c r="D319" s="5" t="s">
        <v>40</v>
      </c>
      <c r="E319" s="5" t="s">
        <v>41</v>
      </c>
      <c r="F319" s="8" t="s">
        <v>67</v>
      </c>
      <c r="G319" s="8" t="s">
        <v>96</v>
      </c>
    </row>
    <row r="320" spans="1:8" x14ac:dyDescent="0.3">
      <c r="A320" s="9">
        <f>+B317*0.0254</f>
        <v>0.1016</v>
      </c>
      <c r="B320" s="2">
        <f>+B316</f>
        <v>0.01</v>
      </c>
      <c r="C320" s="4">
        <f>+((B315-SIN(B315))*(A320)^2)/8</f>
        <v>7.8735496203111068E-3</v>
      </c>
      <c r="D320" s="2">
        <f>+B315*A320/2</f>
        <v>0.26598817800393582</v>
      </c>
      <c r="E320" s="2">
        <f>(1-SIN(B315)/B315)*(A320)/4</f>
        <v>2.9601126183114054E-2</v>
      </c>
      <c r="F320" s="9">
        <f>C320*(E320^(2/3))*(B320^(1/2))/B314</f>
        <v>7.5342968090993511E-3</v>
      </c>
      <c r="G320" s="20">
        <f>+B313/C320</f>
        <v>0.68029545228018207</v>
      </c>
    </row>
    <row r="322" spans="1:8" x14ac:dyDescent="0.3">
      <c r="C322" s="1" t="s">
        <v>100</v>
      </c>
      <c r="D322" s="1"/>
      <c r="F322" s="1" t="str">
        <f>+IF(B313&lt;F320,"CUMPLE","NO CUMPLE")</f>
        <v>CUMPLE</v>
      </c>
      <c r="G322" s="1"/>
    </row>
    <row r="323" spans="1:8" x14ac:dyDescent="0.3">
      <c r="C323" s="1" t="s">
        <v>98</v>
      </c>
      <c r="D323" s="1"/>
      <c r="F323" s="1" t="str">
        <f>+IF(G320&lt;5,"CUMPLE","Verificar Diametro")</f>
        <v>CUMPLE</v>
      </c>
      <c r="G323" s="1"/>
    </row>
    <row r="324" spans="1:8" x14ac:dyDescent="0.3">
      <c r="C324" s="1" t="s">
        <v>69</v>
      </c>
      <c r="D324" s="1"/>
    </row>
    <row r="325" spans="1:8" x14ac:dyDescent="0.3">
      <c r="D325" s="27" t="s">
        <v>59</v>
      </c>
      <c r="E325" s="27">
        <f>IF(B313&lt;F320,A320/0.0254,"Modificar Diametro")</f>
        <v>4</v>
      </c>
      <c r="F325" s="27" t="s">
        <v>65</v>
      </c>
    </row>
    <row r="328" spans="1:8" ht="18" x14ac:dyDescent="0.35">
      <c r="A328" s="37" t="s">
        <v>144</v>
      </c>
      <c r="H328" s="11"/>
    </row>
    <row r="329" spans="1:8" x14ac:dyDescent="0.3">
      <c r="B329" s="2" t="s">
        <v>20</v>
      </c>
      <c r="C329" s="2" t="s">
        <v>13</v>
      </c>
      <c r="D329" s="2" t="s">
        <v>17</v>
      </c>
      <c r="E329" s="2" t="s">
        <v>22</v>
      </c>
      <c r="F329" s="2" t="s">
        <v>18</v>
      </c>
      <c r="G329" s="2" t="s">
        <v>19</v>
      </c>
      <c r="H329" s="11"/>
    </row>
    <row r="330" spans="1:8" x14ac:dyDescent="0.3">
      <c r="A330" s="2" t="s">
        <v>54</v>
      </c>
      <c r="B330" s="47"/>
      <c r="C330" s="48"/>
      <c r="D330" s="48"/>
      <c r="E330" s="49"/>
      <c r="F330" s="6">
        <f>+B314</f>
        <v>0.01</v>
      </c>
      <c r="G330" s="2"/>
      <c r="H330" s="11"/>
    </row>
    <row r="331" spans="1:8" x14ac:dyDescent="0.3">
      <c r="A331" s="7" t="s">
        <v>26</v>
      </c>
      <c r="B331" s="2">
        <f>+$B$9/10000</f>
        <v>4.0448000000000005E-2</v>
      </c>
      <c r="C331" s="2">
        <v>0.97</v>
      </c>
      <c r="D331" s="2">
        <v>100</v>
      </c>
      <c r="E331" s="2">
        <v>5</v>
      </c>
      <c r="F331" s="6">
        <f t="shared" ref="F331:F332" si="15">+B331*C331*D331/360</f>
        <v>1.0898488888888889E-2</v>
      </c>
      <c r="G331" s="6">
        <f t="shared" ref="G331" si="16">+F331/E331</f>
        <v>2.1796977777777779E-3</v>
      </c>
      <c r="H331" s="12"/>
    </row>
    <row r="332" spans="1:8" x14ac:dyDescent="0.3">
      <c r="A332" s="2" t="s">
        <v>74</v>
      </c>
      <c r="B332" s="2">
        <f>(81+32)/10000</f>
        <v>1.1299999999999999E-2</v>
      </c>
      <c r="C332" s="2">
        <v>0.97</v>
      </c>
      <c r="D332" s="2">
        <v>100</v>
      </c>
      <c r="E332" s="19">
        <v>1</v>
      </c>
      <c r="F332" s="6">
        <f t="shared" si="15"/>
        <v>3.0447222222222217E-3</v>
      </c>
      <c r="G332" s="6"/>
      <c r="H332" s="12"/>
    </row>
    <row r="333" spans="1:8" x14ac:dyDescent="0.3">
      <c r="A333" s="11"/>
      <c r="B333" s="11"/>
      <c r="C333" s="11"/>
      <c r="D333" s="11"/>
      <c r="E333" s="11"/>
      <c r="F333" s="12"/>
      <c r="G333" s="12"/>
    </row>
    <row r="334" spans="1:8" x14ac:dyDescent="0.3">
      <c r="F334" s="2" t="s">
        <v>43</v>
      </c>
      <c r="G334" s="6">
        <f>+F330+G331*2+F332</f>
        <v>1.740411777777778E-2</v>
      </c>
    </row>
    <row r="335" spans="1:8" x14ac:dyDescent="0.3">
      <c r="A335" s="1" t="s">
        <v>33</v>
      </c>
      <c r="B335" s="1"/>
      <c r="C335" s="1"/>
    </row>
    <row r="336" spans="1:8" x14ac:dyDescent="0.3">
      <c r="A336" s="5" t="s">
        <v>34</v>
      </c>
      <c r="B336" s="14">
        <f>+G334</f>
        <v>1.740411777777778E-2</v>
      </c>
      <c r="C336" t="s">
        <v>15</v>
      </c>
    </row>
    <row r="337" spans="1:11" x14ac:dyDescent="0.3">
      <c r="A337" s="5" t="s">
        <v>44</v>
      </c>
      <c r="B337" s="7">
        <v>1.2999999999999999E-2</v>
      </c>
    </row>
    <row r="338" spans="1:11" x14ac:dyDescent="0.3">
      <c r="A338" s="5" t="s">
        <v>35</v>
      </c>
      <c r="B338" s="7">
        <v>0</v>
      </c>
    </row>
    <row r="339" spans="1:11" x14ac:dyDescent="0.3">
      <c r="A339" s="5" t="s">
        <v>36</v>
      </c>
      <c r="B339" s="7">
        <v>0.2</v>
      </c>
      <c r="C339" t="s">
        <v>49</v>
      </c>
      <c r="H339" s="13"/>
    </row>
    <row r="340" spans="1:11" x14ac:dyDescent="0.3">
      <c r="A340" s="5" t="s">
        <v>38</v>
      </c>
      <c r="B340" s="7">
        <v>5.0000000000000001E-3</v>
      </c>
      <c r="C340" t="s">
        <v>50</v>
      </c>
    </row>
    <row r="341" spans="1:11" x14ac:dyDescent="0.3">
      <c r="A341" s="5" t="s">
        <v>81</v>
      </c>
      <c r="B341" s="7">
        <v>0.7</v>
      </c>
      <c r="C341" t="s">
        <v>49</v>
      </c>
      <c r="G341" s="13"/>
    </row>
    <row r="343" spans="1:11" x14ac:dyDescent="0.3">
      <c r="A343" s="8" t="s">
        <v>37</v>
      </c>
      <c r="B343" s="2" t="s">
        <v>38</v>
      </c>
      <c r="C343" s="5" t="s">
        <v>39</v>
      </c>
      <c r="D343" s="5" t="s">
        <v>40</v>
      </c>
      <c r="E343" s="5" t="s">
        <v>41</v>
      </c>
      <c r="F343" s="5" t="s">
        <v>34</v>
      </c>
      <c r="G343" s="17" t="s">
        <v>45</v>
      </c>
      <c r="H343" s="8" t="s">
        <v>60</v>
      </c>
      <c r="I343" s="17" t="s">
        <v>46</v>
      </c>
      <c r="J343" s="8" t="s">
        <v>101</v>
      </c>
      <c r="K343" s="8" t="s">
        <v>96</v>
      </c>
    </row>
    <row r="344" spans="1:11" x14ac:dyDescent="0.3">
      <c r="A344" s="9">
        <v>0.11726697682838014</v>
      </c>
      <c r="B344" s="4">
        <f>+B340</f>
        <v>5.0000000000000001E-3</v>
      </c>
      <c r="C344" s="2">
        <f>+A344*B339</f>
        <v>2.345339536567603E-2</v>
      </c>
      <c r="D344" s="2">
        <f>+B339+2*A344</f>
        <v>0.43453395365676029</v>
      </c>
      <c r="E344" s="2">
        <f>C344/D344</f>
        <v>5.3973677242726906E-2</v>
      </c>
      <c r="F344" s="2">
        <f>C344*(E344^(2/3))*(B344^(1/2))/B337</f>
        <v>1.8219454915265217E-2</v>
      </c>
      <c r="G344" s="31">
        <f>ROUND(A344,2)</f>
        <v>0.12</v>
      </c>
      <c r="H344" s="20">
        <f>+ROUND(G344,4)*100</f>
        <v>12</v>
      </c>
      <c r="I344" s="2">
        <f>4/5*B341</f>
        <v>0.55999999999999994</v>
      </c>
      <c r="J344" s="9">
        <f>+(B341-G344)*100</f>
        <v>57.999999999999993</v>
      </c>
      <c r="K344" s="20">
        <f>+B336/C344</f>
        <v>0.74207241665522983</v>
      </c>
    </row>
    <row r="346" spans="1:11" x14ac:dyDescent="0.3">
      <c r="F346" s="1" t="s">
        <v>47</v>
      </c>
      <c r="G346" s="1"/>
      <c r="H346" s="1"/>
      <c r="I346" s="1" t="str">
        <f>IF(G344&lt;I344,"CUMPLE","NO CUMPLE")</f>
        <v>CUMPLE</v>
      </c>
      <c r="J346" s="1"/>
    </row>
    <row r="347" spans="1:11" x14ac:dyDescent="0.3">
      <c r="F347" s="1" t="s">
        <v>97</v>
      </c>
      <c r="G347" s="1"/>
      <c r="I347" s="1" t="str">
        <f>+IF(K344&lt;3,"CUMPLE","Verificar Ancho")</f>
        <v>CUMPLE</v>
      </c>
      <c r="J347" s="1"/>
    </row>
    <row r="350" spans="1:11" ht="18" x14ac:dyDescent="0.35">
      <c r="A350" s="10" t="s">
        <v>106</v>
      </c>
    </row>
    <row r="351" spans="1:11" x14ac:dyDescent="0.3">
      <c r="B351" s="2" t="s">
        <v>20</v>
      </c>
      <c r="C351" s="2" t="s">
        <v>13</v>
      </c>
      <c r="D351" s="2" t="s">
        <v>17</v>
      </c>
      <c r="E351" s="2" t="s">
        <v>22</v>
      </c>
      <c r="F351" s="2" t="s">
        <v>18</v>
      </c>
      <c r="G351" s="2" t="s">
        <v>19</v>
      </c>
    </row>
    <row r="352" spans="1:11" x14ac:dyDescent="0.3">
      <c r="A352" s="2" t="s">
        <v>54</v>
      </c>
      <c r="B352" s="47"/>
      <c r="C352" s="48"/>
      <c r="D352" s="48"/>
      <c r="E352" s="49"/>
      <c r="F352" s="6">
        <f>+B210+B270+B336</f>
        <v>5.7219923333333325E-2</v>
      </c>
      <c r="G352" s="2"/>
    </row>
    <row r="353" spans="1:7" x14ac:dyDescent="0.3">
      <c r="A353" s="7" t="s">
        <v>26</v>
      </c>
      <c r="B353" s="2">
        <f>+$B$9/10000</f>
        <v>4.0448000000000005E-2</v>
      </c>
      <c r="C353" s="2">
        <v>0.97</v>
      </c>
      <c r="D353" s="2">
        <v>100</v>
      </c>
      <c r="E353" s="2">
        <v>5</v>
      </c>
      <c r="F353" s="6">
        <f t="shared" ref="F353" si="17">+B353*C353*D353/360</f>
        <v>1.0898488888888889E-2</v>
      </c>
      <c r="G353" s="6">
        <f t="shared" ref="G353" si="18">+F353/E353</f>
        <v>2.1796977777777779E-3</v>
      </c>
    </row>
    <row r="354" spans="1:7" x14ac:dyDescent="0.3">
      <c r="A354" s="3"/>
      <c r="B354" s="11"/>
      <c r="C354" s="11"/>
      <c r="D354" s="11"/>
      <c r="E354" s="25"/>
      <c r="F354" s="6"/>
      <c r="G354" s="6"/>
    </row>
    <row r="355" spans="1:7" x14ac:dyDescent="0.3">
      <c r="F355" s="2" t="s">
        <v>43</v>
      </c>
      <c r="G355" s="6">
        <f>+F352+G353</f>
        <v>5.9399621111111106E-2</v>
      </c>
    </row>
    <row r="356" spans="1:7" x14ac:dyDescent="0.3">
      <c r="A356" s="1" t="s">
        <v>71</v>
      </c>
      <c r="B356" s="1"/>
      <c r="C356" s="1"/>
    </row>
    <row r="357" spans="1:7" x14ac:dyDescent="0.3">
      <c r="A357" s="5" t="s">
        <v>66</v>
      </c>
      <c r="B357" s="14">
        <f>+G355</f>
        <v>5.9399621111111106E-2</v>
      </c>
      <c r="C357" t="s">
        <v>15</v>
      </c>
    </row>
    <row r="358" spans="1:7" x14ac:dyDescent="0.3">
      <c r="A358" s="5" t="s">
        <v>56</v>
      </c>
      <c r="B358" s="7">
        <v>0.01</v>
      </c>
    </row>
    <row r="359" spans="1:7" ht="18" x14ac:dyDescent="0.35">
      <c r="A359" s="21" t="s">
        <v>93</v>
      </c>
      <c r="B359" s="15">
        <f>180*PI()/180</f>
        <v>3.1415926535897931</v>
      </c>
      <c r="C359" t="s">
        <v>58</v>
      </c>
    </row>
    <row r="360" spans="1:7" x14ac:dyDescent="0.3">
      <c r="A360" s="5" t="s">
        <v>38</v>
      </c>
      <c r="B360" s="7">
        <v>0.01</v>
      </c>
      <c r="C360" t="s">
        <v>50</v>
      </c>
    </row>
    <row r="361" spans="1:7" x14ac:dyDescent="0.3">
      <c r="A361" s="23" t="s">
        <v>57</v>
      </c>
      <c r="B361" s="22">
        <v>12</v>
      </c>
      <c r="C361" t="s">
        <v>65</v>
      </c>
      <c r="G361" s="13"/>
    </row>
    <row r="363" spans="1:7" x14ac:dyDescent="0.3">
      <c r="A363" s="8" t="s">
        <v>57</v>
      </c>
      <c r="B363" s="2" t="s">
        <v>38</v>
      </c>
      <c r="C363" s="5" t="s">
        <v>39</v>
      </c>
      <c r="D363" s="5" t="s">
        <v>40</v>
      </c>
      <c r="E363" s="5" t="s">
        <v>41</v>
      </c>
      <c r="F363" s="8" t="s">
        <v>67</v>
      </c>
      <c r="G363" s="8" t="s">
        <v>96</v>
      </c>
    </row>
    <row r="364" spans="1:7" x14ac:dyDescent="0.3">
      <c r="A364" s="9">
        <f>+B361*0.0254</f>
        <v>0.30479999999999996</v>
      </c>
      <c r="B364" s="2">
        <f>+B360</f>
        <v>0.01</v>
      </c>
      <c r="C364" s="4">
        <f>+((B359-SIN(B359))*(A364)^2)/8</f>
        <v>3.648293849501983E-2</v>
      </c>
      <c r="D364" s="2">
        <f>+B359*A364/2</f>
        <v>0.47877872040708441</v>
      </c>
      <c r="E364" s="2">
        <f>(1-SIN(B359)/B359)*(A364)/4</f>
        <v>7.619999999999999E-2</v>
      </c>
      <c r="F364" s="9">
        <f>C364*(E364^(2/3))*(B364^(1/2))/B358</f>
        <v>6.5573212178423684E-2</v>
      </c>
      <c r="G364" s="20">
        <f>+B357/C364</f>
        <v>1.6281479387747113</v>
      </c>
    </row>
    <row r="366" spans="1:7" x14ac:dyDescent="0.3">
      <c r="C366" s="1" t="s">
        <v>70</v>
      </c>
      <c r="D366" s="1"/>
      <c r="F366" s="1" t="str">
        <f>+IF(B357&lt;F364,"CUMPLE","NO CUMPLE")</f>
        <v>CUMPLE</v>
      </c>
      <c r="G366" s="1"/>
    </row>
    <row r="367" spans="1:7" x14ac:dyDescent="0.3">
      <c r="C367" s="1" t="s">
        <v>98</v>
      </c>
      <c r="D367" s="1"/>
      <c r="F367" s="1" t="str">
        <f>+IF(G364&lt;5,"CUMPLE","Verificar Diametro")</f>
        <v>CUMPLE</v>
      </c>
      <c r="G367" s="1"/>
    </row>
    <row r="368" spans="1:7" x14ac:dyDescent="0.3">
      <c r="C368" s="1" t="s">
        <v>69</v>
      </c>
      <c r="D368" s="1"/>
    </row>
    <row r="369" spans="4:6" x14ac:dyDescent="0.3">
      <c r="D369" s="27" t="s">
        <v>59</v>
      </c>
      <c r="E369" s="27">
        <f>IF(B357&lt;F364,A364/0.0254,"Modificar Diametro")</f>
        <v>11.999999999999998</v>
      </c>
      <c r="F369" s="27" t="s">
        <v>65</v>
      </c>
    </row>
  </sheetData>
  <mergeCells count="11">
    <mergeCell ref="B4:C4"/>
    <mergeCell ref="B59:E59"/>
    <mergeCell ref="B142:E142"/>
    <mergeCell ref="B82:E82"/>
    <mergeCell ref="B164:E164"/>
    <mergeCell ref="B265:E265"/>
    <mergeCell ref="B308:E308"/>
    <mergeCell ref="B352:E352"/>
    <mergeCell ref="B185:E185"/>
    <mergeCell ref="B206:E206"/>
    <mergeCell ref="B330:E330"/>
  </mergeCells>
  <conditionalFormatting sqref="I76:J76 I159:J159 I161:J161 I182:J182 I79:J79 I223:J224">
    <cfRule type="cellIs" dxfId="279" priority="70" operator="lessThan">
      <formula>$I$53</formula>
    </cfRule>
  </conditionalFormatting>
  <conditionalFormatting sqref="I53:J53">
    <cfRule type="cellIs" dxfId="278" priority="68" operator="lessThan">
      <formula>$I$53</formula>
    </cfRule>
  </conditionalFormatting>
  <conditionalFormatting sqref="T53">
    <cfRule type="cellIs" dxfId="277" priority="66" operator="lessThan">
      <formula>$I$53</formula>
    </cfRule>
  </conditionalFormatting>
  <conditionalFormatting sqref="I241:J241">
    <cfRule type="cellIs" dxfId="276" priority="64" operator="lessThan">
      <formula>$I$53</formula>
    </cfRule>
  </conditionalFormatting>
  <conditionalFormatting sqref="I260:J260">
    <cfRule type="cellIs" dxfId="275" priority="62" operator="lessThan">
      <formula>$I$53</formula>
    </cfRule>
  </conditionalFormatting>
  <conditionalFormatting sqref="I302:J302">
    <cfRule type="cellIs" dxfId="274" priority="60" operator="lessThan">
      <formula>$I$53</formula>
    </cfRule>
  </conditionalFormatting>
  <conditionalFormatting sqref="I117:J117 I120:J120">
    <cfRule type="cellIs" dxfId="273" priority="58" operator="lessThan">
      <formula>$I$53</formula>
    </cfRule>
  </conditionalFormatting>
  <conditionalFormatting sqref="I95:J96">
    <cfRule type="cellIs" dxfId="272" priority="56" operator="lessThan">
      <formula>$I$53</formula>
    </cfRule>
  </conditionalFormatting>
  <conditionalFormatting sqref="I177:J178">
    <cfRule type="cellIs" dxfId="271" priority="54" operator="lessThan">
      <formula>$I$53</formula>
    </cfRule>
  </conditionalFormatting>
  <conditionalFormatting sqref="I54:J56">
    <cfRule type="cellIs" dxfId="270" priority="52" operator="lessThan">
      <formula>$I$53</formula>
    </cfRule>
  </conditionalFormatting>
  <conditionalFormatting sqref="I77:J78">
    <cfRule type="cellIs" dxfId="269" priority="50" operator="lessThan">
      <formula>$I$53</formula>
    </cfRule>
  </conditionalFormatting>
  <conditionalFormatting sqref="I118:J119">
    <cfRule type="cellIs" dxfId="268" priority="48" operator="lessThan">
      <formula>$I$53</formula>
    </cfRule>
  </conditionalFormatting>
  <conditionalFormatting sqref="I160:J160">
    <cfRule type="cellIs" dxfId="267" priority="46" operator="lessThan">
      <formula>$I$53</formula>
    </cfRule>
  </conditionalFormatting>
  <conditionalFormatting sqref="F95">
    <cfRule type="cellIs" dxfId="266" priority="44" operator="lessThan">
      <formula>$I$53</formula>
    </cfRule>
  </conditionalFormatting>
  <conditionalFormatting sqref="F96">
    <cfRule type="cellIs" dxfId="265" priority="42" operator="lessThan">
      <formula>$I$53</formula>
    </cfRule>
  </conditionalFormatting>
  <conditionalFormatting sqref="F178">
    <cfRule type="cellIs" dxfId="264" priority="40" operator="lessThan">
      <formula>$I$53</formula>
    </cfRule>
  </conditionalFormatting>
  <conditionalFormatting sqref="F177">
    <cfRule type="cellIs" dxfId="263" priority="38" operator="lessThan">
      <formula>$I$53</formula>
    </cfRule>
  </conditionalFormatting>
  <conditionalFormatting sqref="I242:J242">
    <cfRule type="cellIs" dxfId="262" priority="36" operator="lessThan">
      <formula>$I$53</formula>
    </cfRule>
  </conditionalFormatting>
  <conditionalFormatting sqref="F280">
    <cfRule type="cellIs" dxfId="261" priority="34" operator="lessThan">
      <formula>$I$53</formula>
    </cfRule>
  </conditionalFormatting>
  <conditionalFormatting sqref="F279">
    <cfRule type="cellIs" dxfId="260" priority="32" operator="lessThan">
      <formula>$I$53</formula>
    </cfRule>
  </conditionalFormatting>
  <conditionalFormatting sqref="I303:J303">
    <cfRule type="cellIs" dxfId="259" priority="30" operator="lessThan">
      <formula>$I$53</formula>
    </cfRule>
  </conditionalFormatting>
  <conditionalFormatting sqref="F323">
    <cfRule type="cellIs" dxfId="258" priority="28" operator="lessThan">
      <formula>$I$53</formula>
    </cfRule>
  </conditionalFormatting>
  <conditionalFormatting sqref="F322">
    <cfRule type="cellIs" dxfId="257" priority="26" operator="lessThan">
      <formula>$I$53</formula>
    </cfRule>
  </conditionalFormatting>
  <conditionalFormatting sqref="F367">
    <cfRule type="cellIs" dxfId="256" priority="24" operator="lessThan">
      <formula>$I$53</formula>
    </cfRule>
  </conditionalFormatting>
  <conditionalFormatting sqref="F366">
    <cfRule type="cellIs" dxfId="255" priority="22" operator="lessThan">
      <formula>$I$53</formula>
    </cfRule>
  </conditionalFormatting>
  <conditionalFormatting sqref="I137:J137">
    <cfRule type="cellIs" dxfId="254" priority="20" operator="lessThan">
      <formula>$I$53</formula>
    </cfRule>
  </conditionalFormatting>
  <conditionalFormatting sqref="I138:J138">
    <cfRule type="cellIs" dxfId="253" priority="18" operator="lessThan">
      <formula>$I$53</formula>
    </cfRule>
  </conditionalFormatting>
  <conditionalFormatting sqref="I198:J199">
    <cfRule type="cellIs" dxfId="252" priority="16" operator="lessThan">
      <formula>$I$53</formula>
    </cfRule>
  </conditionalFormatting>
  <conditionalFormatting sqref="F199">
    <cfRule type="cellIs" dxfId="251" priority="14" operator="lessThan">
      <formula>$I$53</formula>
    </cfRule>
  </conditionalFormatting>
  <conditionalFormatting sqref="F198">
    <cfRule type="cellIs" dxfId="250" priority="12" operator="lessThan">
      <formula>$I$53</formula>
    </cfRule>
  </conditionalFormatting>
  <conditionalFormatting sqref="I219:J220">
    <cfRule type="cellIs" dxfId="249" priority="10" operator="lessThan">
      <formula>$I$53</formula>
    </cfRule>
  </conditionalFormatting>
  <conditionalFormatting sqref="F220">
    <cfRule type="cellIs" dxfId="248" priority="8" operator="lessThan">
      <formula>$I$53</formula>
    </cfRule>
  </conditionalFormatting>
  <conditionalFormatting sqref="F219">
    <cfRule type="cellIs" dxfId="247" priority="6" operator="lessThan">
      <formula>$I$53</formula>
    </cfRule>
  </conditionalFormatting>
  <conditionalFormatting sqref="I346:J346">
    <cfRule type="cellIs" dxfId="246" priority="4" operator="lessThan">
      <formula>$I$53</formula>
    </cfRule>
  </conditionalFormatting>
  <conditionalFormatting sqref="I347:J347">
    <cfRule type="cellIs" dxfId="245" priority="2" operator="lessThan">
      <formula>$I$53</formula>
    </cfRule>
  </conditionalFormatting>
  <pageMargins left="0.7" right="0.7" top="0.75" bottom="0.75" header="0.3" footer="0.3"/>
  <pageSetup orientation="landscape" r:id="rId1"/>
  <colBreaks count="1" manualBreakCount="1">
    <brk id="11" max="1048575" man="1"/>
  </colBreak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69" operator="containsText" id="{6617783C-368C-43B7-A746-AA3D8FEC4F13}">
            <xm:f>NOT(ISERROR(SEARCH($I$53,I76)))</xm:f>
            <xm:f>$I$53</xm:f>
            <x14:dxf>
              <fill>
                <patternFill>
                  <bgColor rgb="FF00B0F0"/>
                </patternFill>
              </fill>
            </x14:dxf>
          </x14:cfRule>
          <xm:sqref>I76:J76 I159:J159 I161:J161 I182:J182 I79:J79 I223:J224</xm:sqref>
        </x14:conditionalFormatting>
        <x14:conditionalFormatting xmlns:xm="http://schemas.microsoft.com/office/excel/2006/main">
          <x14:cfRule type="containsText" priority="67" operator="containsText" id="{A2D8E99E-2DD0-4720-A577-3DEDB8AFE46A}">
            <xm:f>NOT(ISERROR(SEARCH($I$53,I53)))</xm:f>
            <xm:f>$I$53</xm:f>
            <x14:dxf>
              <fill>
                <patternFill>
                  <bgColor rgb="FF00B0F0"/>
                </patternFill>
              </fill>
            </x14:dxf>
          </x14:cfRule>
          <xm:sqref>I53:J53</xm:sqref>
        </x14:conditionalFormatting>
        <x14:conditionalFormatting xmlns:xm="http://schemas.microsoft.com/office/excel/2006/main">
          <x14:cfRule type="containsText" priority="65" operator="containsText" id="{D1DCF318-6909-49EA-92F9-E990256A3973}">
            <xm:f>NOT(ISERROR(SEARCH($I$53,T53)))</xm:f>
            <xm:f>$I$53</xm:f>
            <x14:dxf>
              <fill>
                <patternFill>
                  <bgColor rgb="FF00B0F0"/>
                </patternFill>
              </fill>
            </x14:dxf>
          </x14:cfRule>
          <xm:sqref>T53</xm:sqref>
        </x14:conditionalFormatting>
        <x14:conditionalFormatting xmlns:xm="http://schemas.microsoft.com/office/excel/2006/main">
          <x14:cfRule type="containsText" priority="63" operator="containsText" id="{D81963DC-66B3-4CF7-82E4-B6BFE85C4287}">
            <xm:f>NOT(ISERROR(SEARCH($I$53,I241)))</xm:f>
            <xm:f>$I$53</xm:f>
            <x14:dxf>
              <fill>
                <patternFill>
                  <bgColor rgb="FF00B0F0"/>
                </patternFill>
              </fill>
            </x14:dxf>
          </x14:cfRule>
          <xm:sqref>I241:J241</xm:sqref>
        </x14:conditionalFormatting>
        <x14:conditionalFormatting xmlns:xm="http://schemas.microsoft.com/office/excel/2006/main">
          <x14:cfRule type="containsText" priority="61" operator="containsText" id="{99427863-4DDA-4AAF-8B44-9C85C7F2A3AF}">
            <xm:f>NOT(ISERROR(SEARCH($I$53,I260)))</xm:f>
            <xm:f>$I$53</xm:f>
            <x14:dxf>
              <fill>
                <patternFill>
                  <bgColor rgb="FF00B0F0"/>
                </patternFill>
              </fill>
            </x14:dxf>
          </x14:cfRule>
          <xm:sqref>I260:J260</xm:sqref>
        </x14:conditionalFormatting>
        <x14:conditionalFormatting xmlns:xm="http://schemas.microsoft.com/office/excel/2006/main">
          <x14:cfRule type="containsText" priority="59" operator="containsText" id="{BF3A23A9-B911-4B65-B960-58600E980FF6}">
            <xm:f>NOT(ISERROR(SEARCH($I$53,I302)))</xm:f>
            <xm:f>$I$53</xm:f>
            <x14:dxf>
              <fill>
                <patternFill>
                  <bgColor rgb="FF00B0F0"/>
                </patternFill>
              </fill>
            </x14:dxf>
          </x14:cfRule>
          <xm:sqref>I302:J302</xm:sqref>
        </x14:conditionalFormatting>
        <x14:conditionalFormatting xmlns:xm="http://schemas.microsoft.com/office/excel/2006/main">
          <x14:cfRule type="containsText" priority="57" operator="containsText" id="{01C198BF-695F-44B6-BC1A-EF900BE734E0}">
            <xm:f>NOT(ISERROR(SEARCH($I$53,I117)))</xm:f>
            <xm:f>$I$53</xm:f>
            <x14:dxf>
              <fill>
                <patternFill>
                  <bgColor rgb="FF00B0F0"/>
                </patternFill>
              </fill>
            </x14:dxf>
          </x14:cfRule>
          <xm:sqref>I117:J117 I120:J120</xm:sqref>
        </x14:conditionalFormatting>
        <x14:conditionalFormatting xmlns:xm="http://schemas.microsoft.com/office/excel/2006/main">
          <x14:cfRule type="containsText" priority="55" operator="containsText" id="{E8A33995-D9E3-44ED-AE1D-920B832AF6C6}">
            <xm:f>NOT(ISERROR(SEARCH($I$53,I95)))</xm:f>
            <xm:f>$I$53</xm:f>
            <x14:dxf>
              <fill>
                <patternFill>
                  <bgColor rgb="FF00B0F0"/>
                </patternFill>
              </fill>
            </x14:dxf>
          </x14:cfRule>
          <xm:sqref>I95:J96</xm:sqref>
        </x14:conditionalFormatting>
        <x14:conditionalFormatting xmlns:xm="http://schemas.microsoft.com/office/excel/2006/main">
          <x14:cfRule type="containsText" priority="53" operator="containsText" id="{48040085-BBA6-4681-B069-1745D92FD8DA}">
            <xm:f>NOT(ISERROR(SEARCH($I$53,I177)))</xm:f>
            <xm:f>$I$53</xm:f>
            <x14:dxf>
              <fill>
                <patternFill>
                  <bgColor rgb="FF00B0F0"/>
                </patternFill>
              </fill>
            </x14:dxf>
          </x14:cfRule>
          <xm:sqref>I177:J178</xm:sqref>
        </x14:conditionalFormatting>
        <x14:conditionalFormatting xmlns:xm="http://schemas.microsoft.com/office/excel/2006/main">
          <x14:cfRule type="containsText" priority="51" operator="containsText" id="{943009A0-0BB6-4FCD-BE62-B6CE798413F8}">
            <xm:f>NOT(ISERROR(SEARCH($I$53,I54)))</xm:f>
            <xm:f>$I$53</xm:f>
            <x14:dxf>
              <fill>
                <patternFill>
                  <bgColor rgb="FF00B0F0"/>
                </patternFill>
              </fill>
            </x14:dxf>
          </x14:cfRule>
          <xm:sqref>I54:J56</xm:sqref>
        </x14:conditionalFormatting>
        <x14:conditionalFormatting xmlns:xm="http://schemas.microsoft.com/office/excel/2006/main">
          <x14:cfRule type="containsText" priority="49" operator="containsText" id="{BAB22CA5-6AAA-4101-8558-F159E077A704}">
            <xm:f>NOT(ISERROR(SEARCH($I$53,I77)))</xm:f>
            <xm:f>$I$53</xm:f>
            <x14:dxf>
              <fill>
                <patternFill>
                  <bgColor rgb="FF00B0F0"/>
                </patternFill>
              </fill>
            </x14:dxf>
          </x14:cfRule>
          <xm:sqref>I77:J78</xm:sqref>
        </x14:conditionalFormatting>
        <x14:conditionalFormatting xmlns:xm="http://schemas.microsoft.com/office/excel/2006/main">
          <x14:cfRule type="containsText" priority="47" operator="containsText" id="{45F7768B-7ABA-4CE7-B6FB-3E0AAE419EB7}">
            <xm:f>NOT(ISERROR(SEARCH($I$53,I118)))</xm:f>
            <xm:f>$I$53</xm:f>
            <x14:dxf>
              <fill>
                <patternFill>
                  <bgColor rgb="FF00B0F0"/>
                </patternFill>
              </fill>
            </x14:dxf>
          </x14:cfRule>
          <xm:sqref>I118:J119</xm:sqref>
        </x14:conditionalFormatting>
        <x14:conditionalFormatting xmlns:xm="http://schemas.microsoft.com/office/excel/2006/main">
          <x14:cfRule type="containsText" priority="45" operator="containsText" id="{6239BFFC-BB44-482D-9A47-4724D334B700}">
            <xm:f>NOT(ISERROR(SEARCH($I$53,I160)))</xm:f>
            <xm:f>$I$53</xm:f>
            <x14:dxf>
              <fill>
                <patternFill>
                  <bgColor rgb="FF00B0F0"/>
                </patternFill>
              </fill>
            </x14:dxf>
          </x14:cfRule>
          <xm:sqref>I160:J160</xm:sqref>
        </x14:conditionalFormatting>
        <x14:conditionalFormatting xmlns:xm="http://schemas.microsoft.com/office/excel/2006/main">
          <x14:cfRule type="containsText" priority="43" operator="containsText" id="{BFB0D20F-C759-415C-B58D-F42E62C51FA3}">
            <xm:f>NOT(ISERROR(SEARCH($I$53,F95)))</xm:f>
            <xm:f>$I$53</xm:f>
            <x14:dxf>
              <fill>
                <patternFill>
                  <bgColor rgb="FF00B0F0"/>
                </patternFill>
              </fill>
            </x14:dxf>
          </x14:cfRule>
          <xm:sqref>F95</xm:sqref>
        </x14:conditionalFormatting>
        <x14:conditionalFormatting xmlns:xm="http://schemas.microsoft.com/office/excel/2006/main">
          <x14:cfRule type="containsText" priority="41" operator="containsText" id="{A23250AB-D9CE-4143-9444-0C35224E192C}">
            <xm:f>NOT(ISERROR(SEARCH($I$53,F96)))</xm:f>
            <xm:f>$I$53</xm:f>
            <x14:dxf>
              <fill>
                <patternFill>
                  <bgColor rgb="FF00B0F0"/>
                </patternFill>
              </fill>
            </x14:dxf>
          </x14:cfRule>
          <xm:sqref>F96</xm:sqref>
        </x14:conditionalFormatting>
        <x14:conditionalFormatting xmlns:xm="http://schemas.microsoft.com/office/excel/2006/main">
          <x14:cfRule type="containsText" priority="39" operator="containsText" id="{DFD7DC92-9C99-4296-AFC3-78E3DF3FB288}">
            <xm:f>NOT(ISERROR(SEARCH($I$53,F178)))</xm:f>
            <xm:f>$I$53</xm:f>
            <x14:dxf>
              <fill>
                <patternFill>
                  <bgColor rgb="FF00B0F0"/>
                </patternFill>
              </fill>
            </x14:dxf>
          </x14:cfRule>
          <xm:sqref>F178</xm:sqref>
        </x14:conditionalFormatting>
        <x14:conditionalFormatting xmlns:xm="http://schemas.microsoft.com/office/excel/2006/main">
          <x14:cfRule type="containsText" priority="37" operator="containsText" id="{F94E2B53-EC76-448B-8762-212140CEF538}">
            <xm:f>NOT(ISERROR(SEARCH($I$53,F177)))</xm:f>
            <xm:f>$I$53</xm:f>
            <x14:dxf>
              <fill>
                <patternFill>
                  <bgColor rgb="FF00B0F0"/>
                </patternFill>
              </fill>
            </x14:dxf>
          </x14:cfRule>
          <xm:sqref>F177</xm:sqref>
        </x14:conditionalFormatting>
        <x14:conditionalFormatting xmlns:xm="http://schemas.microsoft.com/office/excel/2006/main">
          <x14:cfRule type="containsText" priority="35" operator="containsText" id="{DDE26C86-0D6D-404A-AD32-6DD96502B766}">
            <xm:f>NOT(ISERROR(SEARCH($I$53,I242)))</xm:f>
            <xm:f>$I$53</xm:f>
            <x14:dxf>
              <fill>
                <patternFill>
                  <bgColor rgb="FF00B0F0"/>
                </patternFill>
              </fill>
            </x14:dxf>
          </x14:cfRule>
          <xm:sqref>I242:J242</xm:sqref>
        </x14:conditionalFormatting>
        <x14:conditionalFormatting xmlns:xm="http://schemas.microsoft.com/office/excel/2006/main">
          <x14:cfRule type="containsText" priority="33" operator="containsText" id="{4F65E84E-F9EA-43E8-9FA2-E4CCCF68291F}">
            <xm:f>NOT(ISERROR(SEARCH($I$53,F280)))</xm:f>
            <xm:f>$I$53</xm:f>
            <x14:dxf>
              <fill>
                <patternFill>
                  <bgColor rgb="FF00B0F0"/>
                </patternFill>
              </fill>
            </x14:dxf>
          </x14:cfRule>
          <xm:sqref>F280</xm:sqref>
        </x14:conditionalFormatting>
        <x14:conditionalFormatting xmlns:xm="http://schemas.microsoft.com/office/excel/2006/main">
          <x14:cfRule type="containsText" priority="31" operator="containsText" id="{AB7D9362-B8A7-4339-9D38-1BF655EA4C08}">
            <xm:f>NOT(ISERROR(SEARCH($I$53,F279)))</xm:f>
            <xm:f>$I$53</xm:f>
            <x14:dxf>
              <fill>
                <patternFill>
                  <bgColor rgb="FF00B0F0"/>
                </patternFill>
              </fill>
            </x14:dxf>
          </x14:cfRule>
          <xm:sqref>F279</xm:sqref>
        </x14:conditionalFormatting>
        <x14:conditionalFormatting xmlns:xm="http://schemas.microsoft.com/office/excel/2006/main">
          <x14:cfRule type="containsText" priority="29" operator="containsText" id="{4E125FD8-A076-4542-A37D-4CA42B9BEF53}">
            <xm:f>NOT(ISERROR(SEARCH($I$53,I303)))</xm:f>
            <xm:f>$I$53</xm:f>
            <x14:dxf>
              <fill>
                <patternFill>
                  <bgColor rgb="FF00B0F0"/>
                </patternFill>
              </fill>
            </x14:dxf>
          </x14:cfRule>
          <xm:sqref>I303:J303</xm:sqref>
        </x14:conditionalFormatting>
        <x14:conditionalFormatting xmlns:xm="http://schemas.microsoft.com/office/excel/2006/main">
          <x14:cfRule type="containsText" priority="27" operator="containsText" id="{FA2BED64-34F5-45DB-970B-B7ADB9531C6D}">
            <xm:f>NOT(ISERROR(SEARCH($I$53,F323)))</xm:f>
            <xm:f>$I$53</xm:f>
            <x14:dxf>
              <fill>
                <patternFill>
                  <bgColor rgb="FF00B0F0"/>
                </patternFill>
              </fill>
            </x14:dxf>
          </x14:cfRule>
          <xm:sqref>F323</xm:sqref>
        </x14:conditionalFormatting>
        <x14:conditionalFormatting xmlns:xm="http://schemas.microsoft.com/office/excel/2006/main">
          <x14:cfRule type="containsText" priority="25" operator="containsText" id="{C5FED848-AD10-4FD0-B2F7-55AEBB1038DA}">
            <xm:f>NOT(ISERROR(SEARCH($I$53,F322)))</xm:f>
            <xm:f>$I$53</xm:f>
            <x14:dxf>
              <fill>
                <patternFill>
                  <bgColor rgb="FF00B0F0"/>
                </patternFill>
              </fill>
            </x14:dxf>
          </x14:cfRule>
          <xm:sqref>F322</xm:sqref>
        </x14:conditionalFormatting>
        <x14:conditionalFormatting xmlns:xm="http://schemas.microsoft.com/office/excel/2006/main">
          <x14:cfRule type="containsText" priority="23" operator="containsText" id="{2CE1F68B-21E5-40FC-9028-08604CF556DC}">
            <xm:f>NOT(ISERROR(SEARCH($I$53,F367)))</xm:f>
            <xm:f>$I$53</xm:f>
            <x14:dxf>
              <fill>
                <patternFill>
                  <bgColor rgb="FF00B0F0"/>
                </patternFill>
              </fill>
            </x14:dxf>
          </x14:cfRule>
          <xm:sqref>F367</xm:sqref>
        </x14:conditionalFormatting>
        <x14:conditionalFormatting xmlns:xm="http://schemas.microsoft.com/office/excel/2006/main">
          <x14:cfRule type="containsText" priority="21" operator="containsText" id="{65DE4FD4-AB07-4A86-BF24-BDD67002D528}">
            <xm:f>NOT(ISERROR(SEARCH($I$53,F366)))</xm:f>
            <xm:f>$I$53</xm:f>
            <x14:dxf>
              <fill>
                <patternFill>
                  <bgColor rgb="FF00B0F0"/>
                </patternFill>
              </fill>
            </x14:dxf>
          </x14:cfRule>
          <xm:sqref>F366</xm:sqref>
        </x14:conditionalFormatting>
        <x14:conditionalFormatting xmlns:xm="http://schemas.microsoft.com/office/excel/2006/main">
          <x14:cfRule type="containsText" priority="19" operator="containsText" id="{1E925FCE-2A0A-4475-979F-073CD0C2043B}">
            <xm:f>NOT(ISERROR(SEARCH($I$53,I137)))</xm:f>
            <xm:f>$I$53</xm:f>
            <x14:dxf>
              <fill>
                <patternFill>
                  <bgColor rgb="FF00B0F0"/>
                </patternFill>
              </fill>
            </x14:dxf>
          </x14:cfRule>
          <xm:sqref>I137:J137</xm:sqref>
        </x14:conditionalFormatting>
        <x14:conditionalFormatting xmlns:xm="http://schemas.microsoft.com/office/excel/2006/main">
          <x14:cfRule type="containsText" priority="17" operator="containsText" id="{944B95EC-B0D8-4F67-B32E-FCE6A5562906}">
            <xm:f>NOT(ISERROR(SEARCH($I$53,I138)))</xm:f>
            <xm:f>$I$53</xm:f>
            <x14:dxf>
              <fill>
                <patternFill>
                  <bgColor rgb="FF00B0F0"/>
                </patternFill>
              </fill>
            </x14:dxf>
          </x14:cfRule>
          <xm:sqref>I138:J138</xm:sqref>
        </x14:conditionalFormatting>
        <x14:conditionalFormatting xmlns:xm="http://schemas.microsoft.com/office/excel/2006/main">
          <x14:cfRule type="containsText" priority="15" operator="containsText" id="{95A4E4FF-6CCD-40BA-93C4-82E9D397C7B4}">
            <xm:f>NOT(ISERROR(SEARCH($I$53,I198)))</xm:f>
            <xm:f>$I$53</xm:f>
            <x14:dxf>
              <fill>
                <patternFill>
                  <bgColor rgb="FF00B0F0"/>
                </patternFill>
              </fill>
            </x14:dxf>
          </x14:cfRule>
          <xm:sqref>I198:J199</xm:sqref>
        </x14:conditionalFormatting>
        <x14:conditionalFormatting xmlns:xm="http://schemas.microsoft.com/office/excel/2006/main">
          <x14:cfRule type="containsText" priority="13" operator="containsText" id="{DB1F0334-8FC6-4DE6-8674-6994A3CA3E71}">
            <xm:f>NOT(ISERROR(SEARCH($I$53,F199)))</xm:f>
            <xm:f>$I$53</xm:f>
            <x14:dxf>
              <fill>
                <patternFill>
                  <bgColor rgb="FF00B0F0"/>
                </patternFill>
              </fill>
            </x14:dxf>
          </x14:cfRule>
          <xm:sqref>F199</xm:sqref>
        </x14:conditionalFormatting>
        <x14:conditionalFormatting xmlns:xm="http://schemas.microsoft.com/office/excel/2006/main">
          <x14:cfRule type="containsText" priority="11" operator="containsText" id="{932F7741-31BB-4D58-BA1F-7A6BF3F98776}">
            <xm:f>NOT(ISERROR(SEARCH($I$53,F198)))</xm:f>
            <xm:f>$I$53</xm:f>
            <x14:dxf>
              <fill>
                <patternFill>
                  <bgColor rgb="FF00B0F0"/>
                </patternFill>
              </fill>
            </x14:dxf>
          </x14:cfRule>
          <xm:sqref>F198</xm:sqref>
        </x14:conditionalFormatting>
        <x14:conditionalFormatting xmlns:xm="http://schemas.microsoft.com/office/excel/2006/main">
          <x14:cfRule type="containsText" priority="9" operator="containsText" id="{F95C184B-64EE-45D2-9136-80C6C99204A7}">
            <xm:f>NOT(ISERROR(SEARCH($I$53,I219)))</xm:f>
            <xm:f>$I$53</xm:f>
            <x14:dxf>
              <fill>
                <patternFill>
                  <bgColor rgb="FF00B0F0"/>
                </patternFill>
              </fill>
            </x14:dxf>
          </x14:cfRule>
          <xm:sqref>I219:J220</xm:sqref>
        </x14:conditionalFormatting>
        <x14:conditionalFormatting xmlns:xm="http://schemas.microsoft.com/office/excel/2006/main">
          <x14:cfRule type="containsText" priority="7" operator="containsText" id="{B5608C94-44BB-41B0-AA82-C559B50667A8}">
            <xm:f>NOT(ISERROR(SEARCH($I$53,F220)))</xm:f>
            <xm:f>$I$53</xm:f>
            <x14:dxf>
              <fill>
                <patternFill>
                  <bgColor rgb="FF00B0F0"/>
                </patternFill>
              </fill>
            </x14:dxf>
          </x14:cfRule>
          <xm:sqref>F220</xm:sqref>
        </x14:conditionalFormatting>
        <x14:conditionalFormatting xmlns:xm="http://schemas.microsoft.com/office/excel/2006/main">
          <x14:cfRule type="containsText" priority="5" operator="containsText" id="{F56D4869-945A-4ADC-A8BF-9D5838FE26E8}">
            <xm:f>NOT(ISERROR(SEARCH($I$53,F219)))</xm:f>
            <xm:f>$I$53</xm:f>
            <x14:dxf>
              <fill>
                <patternFill>
                  <bgColor rgb="FF00B0F0"/>
                </patternFill>
              </fill>
            </x14:dxf>
          </x14:cfRule>
          <xm:sqref>F219</xm:sqref>
        </x14:conditionalFormatting>
        <x14:conditionalFormatting xmlns:xm="http://schemas.microsoft.com/office/excel/2006/main">
          <x14:cfRule type="containsText" priority="3" operator="containsText" id="{2145DF5F-FCFC-430D-BC06-2312A9B72675}">
            <xm:f>NOT(ISERROR(SEARCH($I$53,I346)))</xm:f>
            <xm:f>$I$53</xm:f>
            <x14:dxf>
              <fill>
                <patternFill>
                  <bgColor rgb="FF00B0F0"/>
                </patternFill>
              </fill>
            </x14:dxf>
          </x14:cfRule>
          <xm:sqref>I346:J346</xm:sqref>
        </x14:conditionalFormatting>
        <x14:conditionalFormatting xmlns:xm="http://schemas.microsoft.com/office/excel/2006/main">
          <x14:cfRule type="containsText" priority="1" operator="containsText" id="{B675F737-6190-40F2-BB51-A3BB1415C95D}">
            <xm:f>NOT(ISERROR(SEARCH($I$53,I347)))</xm:f>
            <xm:f>$I$53</xm:f>
            <x14:dxf>
              <fill>
                <patternFill>
                  <bgColor rgb="FF00B0F0"/>
                </patternFill>
              </fill>
            </x14:dxf>
          </x14:cfRule>
          <xm:sqref>I347:J347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F0"/>
  </sheetPr>
  <dimension ref="A2:K584"/>
  <sheetViews>
    <sheetView topLeftCell="A567" zoomScale="70" zoomScaleNormal="70" workbookViewId="0">
      <selection activeCell="J567" sqref="J567"/>
    </sheetView>
  </sheetViews>
  <sheetFormatPr baseColWidth="10" defaultRowHeight="14.4" x14ac:dyDescent="0.3"/>
  <cols>
    <col min="1" max="1" width="29.109375" bestFit="1" customWidth="1"/>
    <col min="2" max="2" width="19.109375" customWidth="1"/>
    <col min="3" max="3" width="13.44140625" bestFit="1" customWidth="1"/>
    <col min="4" max="4" width="12.5546875" customWidth="1"/>
    <col min="5" max="5" width="17" customWidth="1"/>
    <col min="6" max="6" width="14.6640625" customWidth="1"/>
    <col min="7" max="8" width="19.6640625" customWidth="1"/>
    <col min="12" max="12" width="14.109375" customWidth="1"/>
  </cols>
  <sheetData>
    <row r="2" spans="1:3" ht="18" x14ac:dyDescent="0.35">
      <c r="A2" s="10" t="s">
        <v>76</v>
      </c>
    </row>
    <row r="4" spans="1:3" x14ac:dyDescent="0.3">
      <c r="A4" s="29" t="s">
        <v>1</v>
      </c>
      <c r="B4" s="45" t="s">
        <v>16</v>
      </c>
      <c r="C4" s="46"/>
    </row>
    <row r="5" spans="1:3" x14ac:dyDescent="0.3">
      <c r="A5" s="7" t="s">
        <v>0</v>
      </c>
      <c r="B5" s="2">
        <v>76.27</v>
      </c>
      <c r="C5" s="2" t="s">
        <v>14</v>
      </c>
    </row>
    <row r="6" spans="1:3" x14ac:dyDescent="0.3">
      <c r="A6" s="7" t="s">
        <v>2</v>
      </c>
      <c r="B6" s="2">
        <v>334.08</v>
      </c>
      <c r="C6" s="2" t="s">
        <v>14</v>
      </c>
    </row>
    <row r="7" spans="1:3" x14ac:dyDescent="0.3">
      <c r="A7" s="7" t="s">
        <v>3</v>
      </c>
      <c r="B7" s="2">
        <v>47.84</v>
      </c>
      <c r="C7" s="2" t="s">
        <v>14</v>
      </c>
    </row>
    <row r="8" spans="1:3" x14ac:dyDescent="0.3">
      <c r="A8" s="7" t="s">
        <v>4</v>
      </c>
      <c r="B8" s="2">
        <v>359.24</v>
      </c>
      <c r="C8" s="2" t="s">
        <v>14</v>
      </c>
    </row>
    <row r="9" spans="1:3" x14ac:dyDescent="0.3">
      <c r="A9" s="7" t="s">
        <v>5</v>
      </c>
      <c r="B9" s="2">
        <v>424.78</v>
      </c>
      <c r="C9" s="2" t="s">
        <v>14</v>
      </c>
    </row>
    <row r="10" spans="1:3" x14ac:dyDescent="0.3">
      <c r="A10" s="7" t="s">
        <v>6</v>
      </c>
      <c r="B10" s="2">
        <v>219.73</v>
      </c>
      <c r="C10" s="2" t="s">
        <v>14</v>
      </c>
    </row>
    <row r="11" spans="1:3" x14ac:dyDescent="0.3">
      <c r="A11" s="7" t="s">
        <v>7</v>
      </c>
      <c r="B11" s="2">
        <v>47.95</v>
      </c>
      <c r="C11" s="2" t="s">
        <v>14</v>
      </c>
    </row>
    <row r="12" spans="1:3" x14ac:dyDescent="0.3">
      <c r="A12" s="7" t="s">
        <v>8</v>
      </c>
      <c r="B12" s="2">
        <v>212.74</v>
      </c>
      <c r="C12" s="2" t="s">
        <v>14</v>
      </c>
    </row>
    <row r="13" spans="1:3" x14ac:dyDescent="0.3">
      <c r="A13" s="7" t="s">
        <v>9</v>
      </c>
      <c r="B13" s="2">
        <v>128.44</v>
      </c>
      <c r="C13" s="2" t="s">
        <v>14</v>
      </c>
    </row>
    <row r="14" spans="1:3" x14ac:dyDescent="0.3">
      <c r="A14" s="7" t="s">
        <v>10</v>
      </c>
      <c r="B14" s="2">
        <v>334.08</v>
      </c>
      <c r="C14" s="2" t="s">
        <v>14</v>
      </c>
    </row>
    <row r="15" spans="1:3" x14ac:dyDescent="0.3">
      <c r="A15" s="7" t="s">
        <v>11</v>
      </c>
      <c r="B15" s="2">
        <v>147.75</v>
      </c>
      <c r="C15" s="2" t="s">
        <v>14</v>
      </c>
    </row>
    <row r="18" spans="1:8" x14ac:dyDescent="0.3">
      <c r="A18" s="1" t="s">
        <v>21</v>
      </c>
    </row>
    <row r="20" spans="1:8" x14ac:dyDescent="0.3">
      <c r="B20" s="2" t="s">
        <v>20</v>
      </c>
      <c r="C20" s="2" t="s">
        <v>13</v>
      </c>
      <c r="D20" s="2" t="s">
        <v>17</v>
      </c>
      <c r="E20" s="2" t="s">
        <v>22</v>
      </c>
      <c r="F20" s="2" t="s">
        <v>18</v>
      </c>
      <c r="G20" s="2" t="s">
        <v>19</v>
      </c>
      <c r="H20" s="11"/>
    </row>
    <row r="21" spans="1:8" x14ac:dyDescent="0.3">
      <c r="A21" s="7" t="s">
        <v>12</v>
      </c>
      <c r="B21" s="2">
        <f>+$B$5/10000</f>
        <v>7.6269999999999992E-3</v>
      </c>
      <c r="C21" s="2">
        <v>0.97</v>
      </c>
      <c r="D21" s="2">
        <v>100</v>
      </c>
      <c r="E21" s="2">
        <v>1</v>
      </c>
      <c r="F21" s="6">
        <f>+B21*C21*D21/360</f>
        <v>2.0550527777777774E-3</v>
      </c>
      <c r="G21" s="6">
        <f>+F21/E21</f>
        <v>2.0550527777777774E-3</v>
      </c>
      <c r="H21" s="12"/>
    </row>
    <row r="22" spans="1:8" x14ac:dyDescent="0.3">
      <c r="A22" s="7" t="s">
        <v>23</v>
      </c>
      <c r="B22" s="2">
        <f>+$B$6/10000</f>
        <v>3.3408E-2</v>
      </c>
      <c r="C22" s="2">
        <v>0.97</v>
      </c>
      <c r="D22" s="2">
        <v>100</v>
      </c>
      <c r="E22" s="2">
        <v>7</v>
      </c>
      <c r="F22" s="6">
        <f t="shared" ref="F22:F31" si="0">+B22*C22*D22/360</f>
        <v>9.0016000000000002E-3</v>
      </c>
      <c r="G22" s="6">
        <f t="shared" ref="G22:G31" si="1">+F22/E22</f>
        <v>1.2859428571428571E-3</v>
      </c>
      <c r="H22" s="12"/>
    </row>
    <row r="23" spans="1:8" x14ac:dyDescent="0.3">
      <c r="A23" s="7" t="s">
        <v>24</v>
      </c>
      <c r="B23" s="2">
        <f>+$B$7/10000</f>
        <v>4.7840000000000001E-3</v>
      </c>
      <c r="C23" s="2">
        <v>0.97</v>
      </c>
      <c r="D23" s="2">
        <v>100</v>
      </c>
      <c r="E23" s="2">
        <v>1</v>
      </c>
      <c r="F23" s="6">
        <f t="shared" si="0"/>
        <v>1.2890222222222221E-3</v>
      </c>
      <c r="G23" s="6">
        <f t="shared" si="1"/>
        <v>1.2890222222222221E-3</v>
      </c>
      <c r="H23" s="12"/>
    </row>
    <row r="24" spans="1:8" x14ac:dyDescent="0.3">
      <c r="A24" s="7" t="s">
        <v>25</v>
      </c>
      <c r="B24" s="2">
        <f>+$B$8/10000</f>
        <v>3.5923999999999998E-2</v>
      </c>
      <c r="C24" s="2">
        <v>0.97</v>
      </c>
      <c r="D24" s="2">
        <v>100</v>
      </c>
      <c r="E24" s="2">
        <v>3</v>
      </c>
      <c r="F24" s="6">
        <f t="shared" si="0"/>
        <v>9.679522222222221E-3</v>
      </c>
      <c r="G24" s="6">
        <f t="shared" si="1"/>
        <v>3.2265074074074068E-3</v>
      </c>
      <c r="H24" s="12"/>
    </row>
    <row r="25" spans="1:8" x14ac:dyDescent="0.3">
      <c r="A25" s="7" t="s">
        <v>26</v>
      </c>
      <c r="B25" s="2">
        <f>+$B$9/10000</f>
        <v>4.2477999999999995E-2</v>
      </c>
      <c r="C25" s="2">
        <v>0.97</v>
      </c>
      <c r="D25" s="2">
        <v>100</v>
      </c>
      <c r="E25" s="2">
        <v>5</v>
      </c>
      <c r="F25" s="6">
        <f t="shared" si="0"/>
        <v>1.144546111111111E-2</v>
      </c>
      <c r="G25" s="6">
        <f t="shared" si="1"/>
        <v>2.2890922222222219E-3</v>
      </c>
      <c r="H25" s="12"/>
    </row>
    <row r="26" spans="1:8" x14ac:dyDescent="0.3">
      <c r="A26" s="7" t="s">
        <v>27</v>
      </c>
      <c r="B26" s="2">
        <f>+$B$10/10000</f>
        <v>2.1972999999999999E-2</v>
      </c>
      <c r="C26" s="2">
        <v>0.97</v>
      </c>
      <c r="D26" s="2">
        <v>100</v>
      </c>
      <c r="E26" s="2">
        <v>5</v>
      </c>
      <c r="F26" s="6">
        <f t="shared" si="0"/>
        <v>5.9205027777777773E-3</v>
      </c>
      <c r="G26" s="6">
        <f t="shared" si="1"/>
        <v>1.1841005555555555E-3</v>
      </c>
      <c r="H26" s="12"/>
    </row>
    <row r="27" spans="1:8" x14ac:dyDescent="0.3">
      <c r="A27" s="7" t="s">
        <v>28</v>
      </c>
      <c r="B27" s="2">
        <f>+$B$11/10000</f>
        <v>4.7950000000000007E-3</v>
      </c>
      <c r="C27" s="2">
        <v>0.97</v>
      </c>
      <c r="D27" s="2">
        <v>100</v>
      </c>
      <c r="E27" s="2">
        <v>1</v>
      </c>
      <c r="F27" s="6">
        <f t="shared" si="0"/>
        <v>1.2919861111111114E-3</v>
      </c>
      <c r="G27" s="6">
        <f t="shared" si="1"/>
        <v>1.2919861111111114E-3</v>
      </c>
      <c r="H27" s="12"/>
    </row>
    <row r="28" spans="1:8" x14ac:dyDescent="0.3">
      <c r="A28" s="7" t="s">
        <v>29</v>
      </c>
      <c r="B28" s="2">
        <f>+$B$12/10000</f>
        <v>2.1274000000000001E-2</v>
      </c>
      <c r="C28" s="2">
        <v>0.97</v>
      </c>
      <c r="D28" s="2">
        <v>100</v>
      </c>
      <c r="E28" s="2">
        <v>5</v>
      </c>
      <c r="F28" s="6">
        <f t="shared" si="0"/>
        <v>5.7321611111111111E-3</v>
      </c>
      <c r="G28" s="6">
        <f t="shared" si="1"/>
        <v>1.1464322222222221E-3</v>
      </c>
      <c r="H28" s="12"/>
    </row>
    <row r="29" spans="1:8" x14ac:dyDescent="0.3">
      <c r="A29" s="7" t="s">
        <v>30</v>
      </c>
      <c r="B29" s="2">
        <f>+$B$13/10000</f>
        <v>1.2844E-2</v>
      </c>
      <c r="C29" s="2">
        <v>0.97</v>
      </c>
      <c r="D29" s="2">
        <v>100</v>
      </c>
      <c r="E29" s="2">
        <v>2</v>
      </c>
      <c r="F29" s="6">
        <f t="shared" si="0"/>
        <v>3.4607444444444443E-3</v>
      </c>
      <c r="G29" s="6">
        <f t="shared" si="1"/>
        <v>1.7303722222222222E-3</v>
      </c>
      <c r="H29" s="12"/>
    </row>
    <row r="30" spans="1:8" x14ac:dyDescent="0.3">
      <c r="A30" s="7" t="s">
        <v>31</v>
      </c>
      <c r="B30" s="2">
        <f>+$B$14/10000</f>
        <v>3.3408E-2</v>
      </c>
      <c r="C30" s="2">
        <v>0.97</v>
      </c>
      <c r="D30" s="2">
        <v>100</v>
      </c>
      <c r="E30" s="2">
        <v>7</v>
      </c>
      <c r="F30" s="6">
        <f t="shared" si="0"/>
        <v>9.0016000000000002E-3</v>
      </c>
      <c r="G30" s="6">
        <f t="shared" si="1"/>
        <v>1.2859428571428571E-3</v>
      </c>
      <c r="H30" s="12"/>
    </row>
    <row r="31" spans="1:8" x14ac:dyDescent="0.3">
      <c r="A31" s="7" t="s">
        <v>32</v>
      </c>
      <c r="B31" s="2">
        <f>+$B$15/10000</f>
        <v>1.4775E-2</v>
      </c>
      <c r="C31" s="2">
        <v>0.97</v>
      </c>
      <c r="D31" s="2">
        <v>100</v>
      </c>
      <c r="E31" s="2">
        <v>2</v>
      </c>
      <c r="F31" s="6">
        <f t="shared" si="0"/>
        <v>3.9810416666666666E-3</v>
      </c>
      <c r="G31" s="6">
        <f t="shared" si="1"/>
        <v>1.9905208333333333E-3</v>
      </c>
      <c r="H31" s="12"/>
    </row>
    <row r="32" spans="1:8" x14ac:dyDescent="0.3">
      <c r="E32" s="30" t="s">
        <v>95</v>
      </c>
      <c r="F32" s="6">
        <f>SUM(F21:F31)</f>
        <v>6.2858694444444446E-2</v>
      </c>
    </row>
    <row r="35" spans="1:8" ht="18" x14ac:dyDescent="0.35">
      <c r="A35" s="10" t="s">
        <v>84</v>
      </c>
    </row>
    <row r="36" spans="1:8" x14ac:dyDescent="0.3">
      <c r="B36" s="2" t="s">
        <v>20</v>
      </c>
      <c r="C36" s="2" t="s">
        <v>13</v>
      </c>
      <c r="D36" s="2" t="s">
        <v>17</v>
      </c>
      <c r="E36" s="2" t="s">
        <v>22</v>
      </c>
      <c r="F36" s="2" t="s">
        <v>18</v>
      </c>
      <c r="G36" s="2" t="s">
        <v>19</v>
      </c>
      <c r="H36" s="11"/>
    </row>
    <row r="37" spans="1:8" x14ac:dyDescent="0.3">
      <c r="A37" s="7" t="s">
        <v>27</v>
      </c>
      <c r="B37" s="2">
        <f>+$B$10/10000</f>
        <v>2.1972999999999999E-2</v>
      </c>
      <c r="C37" s="2">
        <v>0.97</v>
      </c>
      <c r="D37" s="2">
        <v>100</v>
      </c>
      <c r="E37" s="2"/>
      <c r="F37" s="6">
        <f>+B37*C37*D37/360</f>
        <v>5.9205027777777773E-3</v>
      </c>
      <c r="G37" s="6"/>
      <c r="H37" s="12"/>
    </row>
    <row r="38" spans="1:8" x14ac:dyDescent="0.3">
      <c r="A38" s="2" t="s">
        <v>77</v>
      </c>
      <c r="B38" s="2">
        <f>30*1.25/10000</f>
        <v>3.7499999999999999E-3</v>
      </c>
      <c r="C38" s="2">
        <v>0.97</v>
      </c>
      <c r="D38" s="2">
        <v>100</v>
      </c>
      <c r="E38" s="2"/>
      <c r="F38" s="6">
        <f t="shared" ref="F38" si="2">+B38*C38*D38/360</f>
        <v>1.0104166666666666E-3</v>
      </c>
      <c r="G38" s="6"/>
      <c r="H38" s="12"/>
    </row>
    <row r="39" spans="1:8" x14ac:dyDescent="0.3">
      <c r="A39" s="11"/>
      <c r="B39" s="11"/>
      <c r="C39" s="11"/>
      <c r="D39" s="11"/>
      <c r="E39" s="11"/>
      <c r="F39" s="12"/>
      <c r="G39" s="12"/>
      <c r="H39" s="12"/>
    </row>
    <row r="40" spans="1:8" x14ac:dyDescent="0.3">
      <c r="F40" s="2" t="s">
        <v>43</v>
      </c>
      <c r="G40" s="6">
        <f>+F37+F38</f>
        <v>6.9309194444444437E-3</v>
      </c>
      <c r="H40" s="12"/>
    </row>
    <row r="41" spans="1:8" x14ac:dyDescent="0.3">
      <c r="A41" s="1" t="s">
        <v>33</v>
      </c>
      <c r="B41" s="1"/>
      <c r="C41" s="1"/>
    </row>
    <row r="42" spans="1:8" x14ac:dyDescent="0.3">
      <c r="A42" s="5" t="s">
        <v>34</v>
      </c>
      <c r="B42" s="14">
        <f>+G40</f>
        <v>6.9309194444444437E-3</v>
      </c>
      <c r="C42" t="s">
        <v>15</v>
      </c>
    </row>
    <row r="43" spans="1:8" x14ac:dyDescent="0.3">
      <c r="A43" s="5" t="s">
        <v>44</v>
      </c>
      <c r="B43" s="7">
        <v>1.2999999999999999E-2</v>
      </c>
    </row>
    <row r="44" spans="1:8" x14ac:dyDescent="0.3">
      <c r="A44" s="5" t="s">
        <v>35</v>
      </c>
      <c r="B44" s="7">
        <v>0</v>
      </c>
    </row>
    <row r="45" spans="1:8" x14ac:dyDescent="0.3">
      <c r="A45" s="5" t="s">
        <v>36</v>
      </c>
      <c r="B45" s="7">
        <v>0.2</v>
      </c>
      <c r="C45" t="s">
        <v>49</v>
      </c>
    </row>
    <row r="46" spans="1:8" x14ac:dyDescent="0.3">
      <c r="A46" s="5" t="s">
        <v>38</v>
      </c>
      <c r="B46" s="7">
        <v>5.0000000000000001E-3</v>
      </c>
      <c r="C46" t="s">
        <v>50</v>
      </c>
    </row>
    <row r="47" spans="1:8" x14ac:dyDescent="0.3">
      <c r="A47" s="5" t="s">
        <v>48</v>
      </c>
      <c r="B47" s="7">
        <v>0.3</v>
      </c>
      <c r="C47" t="s">
        <v>49</v>
      </c>
      <c r="G47" s="13"/>
      <c r="H47" s="13"/>
    </row>
    <row r="49" spans="1:11" x14ac:dyDescent="0.3">
      <c r="A49" s="8" t="s">
        <v>37</v>
      </c>
      <c r="B49" s="2" t="s">
        <v>38</v>
      </c>
      <c r="C49" s="5" t="s">
        <v>39</v>
      </c>
      <c r="D49" s="5" t="s">
        <v>40</v>
      </c>
      <c r="E49" s="5" t="s">
        <v>41</v>
      </c>
      <c r="F49" s="5" t="s">
        <v>34</v>
      </c>
      <c r="G49" s="17" t="s">
        <v>45</v>
      </c>
      <c r="H49" s="8" t="s">
        <v>60</v>
      </c>
      <c r="I49" s="17" t="s">
        <v>46</v>
      </c>
      <c r="J49" s="8" t="s">
        <v>101</v>
      </c>
      <c r="K49" s="8" t="s">
        <v>96</v>
      </c>
    </row>
    <row r="50" spans="1:11" x14ac:dyDescent="0.3">
      <c r="A50" s="9">
        <v>6.2994634004901268E-2</v>
      </c>
      <c r="B50" s="4">
        <f>+B46</f>
        <v>5.0000000000000001E-3</v>
      </c>
      <c r="C50" s="2">
        <f>+A50*B45</f>
        <v>1.2598926800980254E-2</v>
      </c>
      <c r="D50" s="2">
        <f>+B45+2*A50</f>
        <v>0.32598926800980255</v>
      </c>
      <c r="E50" s="2">
        <f>C50/D50</f>
        <v>3.8648287036864667E-2</v>
      </c>
      <c r="F50" s="2">
        <f>C50*(E50^(2/3))*(B50^(1/2))/B43</f>
        <v>7.8336116176969152E-3</v>
      </c>
      <c r="G50" s="31">
        <f>ROUND(A50,2)</f>
        <v>0.06</v>
      </c>
      <c r="H50" s="20">
        <f>+ROUND(G50,4)*100</f>
        <v>6</v>
      </c>
      <c r="I50" s="2">
        <f>4/5*B47</f>
        <v>0.24</v>
      </c>
      <c r="J50" s="9">
        <f>+(B47-G50)*100</f>
        <v>24</v>
      </c>
      <c r="K50" s="20">
        <f>+B42/C50</f>
        <v>0.55011982797655323</v>
      </c>
    </row>
    <row r="52" spans="1:11" x14ac:dyDescent="0.3">
      <c r="F52" s="1" t="s">
        <v>47</v>
      </c>
      <c r="G52" s="1"/>
      <c r="H52" s="1"/>
      <c r="I52" s="1" t="str">
        <f>IF(G50&lt;I50,"CUMPLE","NO CUMPLE")</f>
        <v>CUMPLE</v>
      </c>
    </row>
    <row r="53" spans="1:11" x14ac:dyDescent="0.3">
      <c r="F53" s="1" t="s">
        <v>97</v>
      </c>
      <c r="G53" s="1"/>
      <c r="I53" s="1" t="str">
        <f>+IF(K50&lt;3,"CUMPLE","Verificar Ancho")</f>
        <v>CUMPLE</v>
      </c>
    </row>
    <row r="54" spans="1:11" x14ac:dyDescent="0.3">
      <c r="F54" s="1"/>
      <c r="G54" s="1"/>
      <c r="I54" s="1"/>
    </row>
    <row r="56" spans="1:11" ht="18" x14ac:dyDescent="0.35">
      <c r="A56" s="10" t="s">
        <v>107</v>
      </c>
    </row>
    <row r="57" spans="1:11" x14ac:dyDescent="0.3">
      <c r="B57" s="2" t="s">
        <v>20</v>
      </c>
      <c r="C57" s="2" t="s">
        <v>13</v>
      </c>
      <c r="D57" s="2" t="s">
        <v>17</v>
      </c>
      <c r="E57" s="2" t="s">
        <v>22</v>
      </c>
      <c r="F57" s="2" t="s">
        <v>18</v>
      </c>
      <c r="G57" s="2" t="s">
        <v>19</v>
      </c>
      <c r="H57" s="11"/>
    </row>
    <row r="58" spans="1:11" x14ac:dyDescent="0.3">
      <c r="A58" s="2" t="s">
        <v>54</v>
      </c>
      <c r="B58" s="47"/>
      <c r="C58" s="48"/>
      <c r="D58" s="48"/>
      <c r="E58" s="49"/>
      <c r="F58" s="6">
        <f>+B42</f>
        <v>6.9309194444444437E-3</v>
      </c>
      <c r="G58" s="2"/>
      <c r="H58" s="11"/>
    </row>
    <row r="59" spans="1:11" x14ac:dyDescent="0.3">
      <c r="A59" s="2" t="s">
        <v>78</v>
      </c>
      <c r="B59" s="2">
        <f>25*1.25/10000</f>
        <v>3.1250000000000002E-3</v>
      </c>
      <c r="C59" s="2">
        <v>0.97</v>
      </c>
      <c r="D59" s="2">
        <v>100</v>
      </c>
      <c r="E59" s="2"/>
      <c r="F59" s="6">
        <f t="shared" ref="F59" si="3">+B59*C59*D59/360</f>
        <v>8.42013888888889E-4</v>
      </c>
      <c r="G59" s="6"/>
      <c r="H59" s="12"/>
    </row>
    <row r="60" spans="1:11" x14ac:dyDescent="0.3">
      <c r="A60" s="11"/>
      <c r="B60" s="11"/>
      <c r="C60" s="11"/>
      <c r="D60" s="11"/>
      <c r="E60" s="11"/>
      <c r="F60" s="12"/>
      <c r="G60" s="12"/>
      <c r="H60" s="12"/>
    </row>
    <row r="61" spans="1:11" x14ac:dyDescent="0.3">
      <c r="F61" s="2" t="s">
        <v>43</v>
      </c>
      <c r="G61" s="6">
        <f>+F58+F59</f>
        <v>7.7729333333333324E-3</v>
      </c>
      <c r="H61" s="12"/>
    </row>
    <row r="62" spans="1:11" x14ac:dyDescent="0.3">
      <c r="A62" s="1" t="s">
        <v>33</v>
      </c>
      <c r="B62" s="1"/>
      <c r="C62" s="1"/>
    </row>
    <row r="63" spans="1:11" x14ac:dyDescent="0.3">
      <c r="A63" s="5" t="s">
        <v>34</v>
      </c>
      <c r="B63" s="14">
        <f>+G61</f>
        <v>7.7729333333333324E-3</v>
      </c>
      <c r="C63" t="s">
        <v>15</v>
      </c>
    </row>
    <row r="64" spans="1:11" x14ac:dyDescent="0.3">
      <c r="A64" s="5" t="s">
        <v>44</v>
      </c>
      <c r="B64" s="7">
        <v>1.2999999999999999E-2</v>
      </c>
      <c r="E64" t="s">
        <v>82</v>
      </c>
      <c r="F64">
        <f>+B63/D71</f>
        <v>2.3198554393574811E-2</v>
      </c>
      <c r="G64" t="s">
        <v>85</v>
      </c>
    </row>
    <row r="65" spans="1:11" x14ac:dyDescent="0.3">
      <c r="A65" s="5" t="s">
        <v>35</v>
      </c>
      <c r="B65" s="7">
        <v>0</v>
      </c>
    </row>
    <row r="66" spans="1:11" x14ac:dyDescent="0.3">
      <c r="A66" s="5" t="s">
        <v>36</v>
      </c>
      <c r="B66" s="7">
        <v>0.2</v>
      </c>
      <c r="C66" t="s">
        <v>49</v>
      </c>
    </row>
    <row r="67" spans="1:11" x14ac:dyDescent="0.3">
      <c r="A67" s="5" t="s">
        <v>38</v>
      </c>
      <c r="B67" s="7">
        <v>5.0000000000000001E-3</v>
      </c>
      <c r="C67" t="s">
        <v>50</v>
      </c>
    </row>
    <row r="68" spans="1:11" x14ac:dyDescent="0.3">
      <c r="A68" s="5" t="s">
        <v>48</v>
      </c>
      <c r="B68" s="7">
        <v>0.36</v>
      </c>
      <c r="C68" t="s">
        <v>49</v>
      </c>
      <c r="G68" s="13"/>
      <c r="H68" s="13"/>
    </row>
    <row r="70" spans="1:11" x14ac:dyDescent="0.3">
      <c r="A70" s="8" t="s">
        <v>37</v>
      </c>
      <c r="B70" s="2" t="s">
        <v>38</v>
      </c>
      <c r="C70" s="5" t="s">
        <v>39</v>
      </c>
      <c r="D70" s="5" t="s">
        <v>40</v>
      </c>
      <c r="E70" s="5" t="s">
        <v>41</v>
      </c>
      <c r="F70" s="5" t="s">
        <v>34</v>
      </c>
      <c r="G70" s="17" t="s">
        <v>45</v>
      </c>
      <c r="H70" s="8" t="s">
        <v>60</v>
      </c>
      <c r="I70" s="17" t="s">
        <v>46</v>
      </c>
      <c r="J70" s="8" t="s">
        <v>101</v>
      </c>
      <c r="K70" s="8" t="s">
        <v>96</v>
      </c>
    </row>
    <row r="71" spans="1:11" x14ac:dyDescent="0.3">
      <c r="A71" s="9">
        <v>6.7530553875507077E-2</v>
      </c>
      <c r="B71" s="4">
        <f>+B67</f>
        <v>5.0000000000000001E-3</v>
      </c>
      <c r="C71" s="2">
        <f>+A71*B66</f>
        <v>1.3506110775101415E-2</v>
      </c>
      <c r="D71" s="2">
        <f>+B66+2*A71</f>
        <v>0.33506110775101416</v>
      </c>
      <c r="E71" s="2">
        <f>C71/D71</f>
        <v>4.0309395697270496E-2</v>
      </c>
      <c r="F71" s="2">
        <f>C71*(E71^(2/3))*(B71^(1/2))/B64</f>
        <v>8.6366001917413966E-3</v>
      </c>
      <c r="G71" s="31">
        <f>ROUND(A71,2)</f>
        <v>7.0000000000000007E-2</v>
      </c>
      <c r="H71" s="20">
        <f>+ROUND(G71,4)*100</f>
        <v>7.0000000000000009</v>
      </c>
      <c r="I71" s="2">
        <f>4/5*B68</f>
        <v>0.28799999999999998</v>
      </c>
      <c r="J71" s="9">
        <f>+(B68-G71)*100</f>
        <v>28.999999999999996</v>
      </c>
      <c r="K71" s="20">
        <f>+B63/C71</f>
        <v>0.57551233384393496</v>
      </c>
    </row>
    <row r="73" spans="1:11" x14ac:dyDescent="0.3">
      <c r="F73" s="1" t="s">
        <v>47</v>
      </c>
      <c r="G73" s="1"/>
      <c r="H73" s="1"/>
      <c r="I73" s="1" t="str">
        <f>IF(G71&lt;I71,"CUMPLE","NO CUMPLE")</f>
        <v>CUMPLE</v>
      </c>
    </row>
    <row r="74" spans="1:11" x14ac:dyDescent="0.3">
      <c r="F74" s="1" t="s">
        <v>97</v>
      </c>
      <c r="G74" s="1"/>
      <c r="I74" s="1" t="str">
        <f>+IF(K71&lt;3,"CUMPLE","Verificar Ancho")</f>
        <v>CUMPLE</v>
      </c>
    </row>
    <row r="75" spans="1:11" x14ac:dyDescent="0.3">
      <c r="F75" s="1"/>
      <c r="G75" s="1"/>
      <c r="I75" s="1"/>
    </row>
    <row r="77" spans="1:11" ht="18" x14ac:dyDescent="0.35">
      <c r="A77" s="10" t="s">
        <v>108</v>
      </c>
    </row>
    <row r="78" spans="1:11" x14ac:dyDescent="0.3">
      <c r="B78" s="2" t="s">
        <v>20</v>
      </c>
      <c r="C78" s="2" t="s">
        <v>13</v>
      </c>
      <c r="D78" s="2" t="s">
        <v>17</v>
      </c>
      <c r="E78" s="2" t="s">
        <v>22</v>
      </c>
      <c r="F78" s="2" t="s">
        <v>18</v>
      </c>
      <c r="G78" s="2" t="s">
        <v>19</v>
      </c>
    </row>
    <row r="79" spans="1:11" x14ac:dyDescent="0.3">
      <c r="A79" s="2" t="s">
        <v>54</v>
      </c>
      <c r="B79" s="47"/>
      <c r="C79" s="48"/>
      <c r="D79" s="48"/>
      <c r="E79" s="49"/>
      <c r="F79" s="6">
        <f>B63</f>
        <v>7.7729333333333324E-3</v>
      </c>
      <c r="G79" s="2"/>
    </row>
    <row r="80" spans="1:11" x14ac:dyDescent="0.3">
      <c r="A80" s="2" t="s">
        <v>79</v>
      </c>
      <c r="B80" s="2">
        <f>62/10000</f>
        <v>6.1999999999999998E-3</v>
      </c>
      <c r="C80" s="2">
        <v>0.97</v>
      </c>
      <c r="D80" s="2">
        <v>100</v>
      </c>
      <c r="E80" s="2"/>
      <c r="F80" s="6">
        <f t="shared" ref="F80" si="4">+B80*C80*D80/360</f>
        <v>1.6705555555555553E-3</v>
      </c>
      <c r="G80" s="6"/>
    </row>
    <row r="81" spans="1:11" x14ac:dyDescent="0.3">
      <c r="A81" s="11"/>
      <c r="B81" s="24"/>
      <c r="C81" s="24"/>
      <c r="D81" s="24"/>
      <c r="E81" s="24"/>
      <c r="F81" s="12"/>
      <c r="G81" s="11"/>
    </row>
    <row r="82" spans="1:11" x14ac:dyDescent="0.3">
      <c r="A82" s="11"/>
      <c r="B82" s="11"/>
      <c r="C82" s="11"/>
      <c r="D82" s="11"/>
      <c r="E82" s="11"/>
      <c r="F82" s="12"/>
      <c r="G82" s="12"/>
    </row>
    <row r="83" spans="1:11" x14ac:dyDescent="0.3">
      <c r="F83" s="2" t="s">
        <v>43</v>
      </c>
      <c r="G83" s="6">
        <f>+F79+F80</f>
        <v>9.4434888888888877E-3</v>
      </c>
    </row>
    <row r="85" spans="1:11" x14ac:dyDescent="0.3">
      <c r="A85" s="1" t="s">
        <v>33</v>
      </c>
      <c r="B85" s="1"/>
      <c r="C85" s="1"/>
    </row>
    <row r="86" spans="1:11" x14ac:dyDescent="0.3">
      <c r="A86" s="5" t="s">
        <v>34</v>
      </c>
      <c r="B86" s="14">
        <f>+G83</f>
        <v>9.4434888888888877E-3</v>
      </c>
      <c r="C86" t="s">
        <v>15</v>
      </c>
    </row>
    <row r="87" spans="1:11" x14ac:dyDescent="0.3">
      <c r="A87" s="5" t="s">
        <v>44</v>
      </c>
      <c r="B87" s="7">
        <v>1.2999999999999999E-2</v>
      </c>
    </row>
    <row r="88" spans="1:11" x14ac:dyDescent="0.3">
      <c r="A88" s="5" t="s">
        <v>35</v>
      </c>
      <c r="B88" s="7">
        <v>0</v>
      </c>
    </row>
    <row r="89" spans="1:11" x14ac:dyDescent="0.3">
      <c r="A89" s="5" t="s">
        <v>36</v>
      </c>
      <c r="B89" s="7">
        <v>0.2</v>
      </c>
      <c r="C89" t="s">
        <v>49</v>
      </c>
    </row>
    <row r="90" spans="1:11" x14ac:dyDescent="0.3">
      <c r="A90" s="5" t="s">
        <v>38</v>
      </c>
      <c r="B90" s="7">
        <v>4.3200000000000002E-2</v>
      </c>
      <c r="C90" t="s">
        <v>50</v>
      </c>
    </row>
    <row r="91" spans="1:11" x14ac:dyDescent="0.3">
      <c r="A91" s="5" t="s">
        <v>48</v>
      </c>
      <c r="B91" s="7">
        <v>0.95</v>
      </c>
      <c r="C91" t="s">
        <v>49</v>
      </c>
      <c r="G91" s="13"/>
      <c r="H91" s="13"/>
    </row>
    <row r="93" spans="1:11" x14ac:dyDescent="0.3">
      <c r="A93" s="8" t="s">
        <v>37</v>
      </c>
      <c r="B93" s="2" t="s">
        <v>38</v>
      </c>
      <c r="C93" s="5" t="s">
        <v>39</v>
      </c>
      <c r="D93" s="5" t="s">
        <v>40</v>
      </c>
      <c r="E93" s="5" t="s">
        <v>41</v>
      </c>
      <c r="F93" s="5" t="s">
        <v>34</v>
      </c>
      <c r="G93" s="17" t="s">
        <v>45</v>
      </c>
      <c r="H93" s="8" t="s">
        <v>60</v>
      </c>
      <c r="I93" s="17" t="s">
        <v>46</v>
      </c>
      <c r="J93" s="8" t="s">
        <v>101</v>
      </c>
      <c r="K93" s="8" t="s">
        <v>96</v>
      </c>
    </row>
    <row r="94" spans="1:11" x14ac:dyDescent="0.3">
      <c r="A94" s="9">
        <v>3.4695905733154973E-2</v>
      </c>
      <c r="B94" s="4">
        <f>+B90</f>
        <v>4.3200000000000002E-2</v>
      </c>
      <c r="C94" s="2">
        <f>+A94*B89</f>
        <v>6.9391811466309947E-3</v>
      </c>
      <c r="D94" s="2">
        <f>+B89+2*A94</f>
        <v>0.26939181146630997</v>
      </c>
      <c r="E94" s="2">
        <f>C94/D94</f>
        <v>2.5758693662070741E-2</v>
      </c>
      <c r="F94" s="2">
        <f>C94*(E94^(2/3))*(B94^(1/2))/B87</f>
        <v>9.6765965772668723E-3</v>
      </c>
      <c r="G94" s="31">
        <f>ROUND(A94,2)</f>
        <v>0.03</v>
      </c>
      <c r="H94" s="20">
        <f>+ROUND(G94,4)*100</f>
        <v>3</v>
      </c>
      <c r="I94" s="2">
        <f>4/5*B91</f>
        <v>0.76</v>
      </c>
      <c r="J94" s="9">
        <f>+(B91-G94)*100</f>
        <v>92</v>
      </c>
      <c r="K94" s="20">
        <f>+B86/C94</f>
        <v>1.3608938416997149</v>
      </c>
    </row>
    <row r="96" spans="1:11" x14ac:dyDescent="0.3">
      <c r="F96" s="1" t="s">
        <v>47</v>
      </c>
      <c r="G96" s="1"/>
      <c r="H96" s="1"/>
      <c r="I96" s="1" t="str">
        <f>IF(G94&lt;I94,"CUMPLE","NO CUMPLE")</f>
        <v>CUMPLE</v>
      </c>
    </row>
    <row r="97" spans="1:9" x14ac:dyDescent="0.3">
      <c r="F97" s="1" t="s">
        <v>97</v>
      </c>
      <c r="G97" s="1"/>
      <c r="I97" s="1" t="str">
        <f>+IF(K94&lt;3,"CUMPLE","Verificar Ancho")</f>
        <v>CUMPLE</v>
      </c>
    </row>
    <row r="98" spans="1:9" x14ac:dyDescent="0.3">
      <c r="F98" s="1"/>
      <c r="G98" s="1"/>
      <c r="I98" s="1"/>
    </row>
    <row r="100" spans="1:9" ht="18" x14ac:dyDescent="0.35">
      <c r="A100" s="10" t="s">
        <v>109</v>
      </c>
    </row>
    <row r="101" spans="1:9" x14ac:dyDescent="0.3">
      <c r="B101" s="2" t="s">
        <v>20</v>
      </c>
      <c r="C101" s="2" t="s">
        <v>13</v>
      </c>
      <c r="D101" s="2" t="s">
        <v>17</v>
      </c>
      <c r="E101" s="2" t="s">
        <v>22</v>
      </c>
      <c r="F101" s="2" t="s">
        <v>18</v>
      </c>
      <c r="G101" s="2" t="s">
        <v>19</v>
      </c>
    </row>
    <row r="102" spans="1:9" x14ac:dyDescent="0.3">
      <c r="A102" s="2" t="s">
        <v>54</v>
      </c>
      <c r="B102" s="47"/>
      <c r="C102" s="48"/>
      <c r="D102" s="48"/>
      <c r="E102" s="49"/>
      <c r="F102" s="6">
        <f>+B86</f>
        <v>9.4434888888888877E-3</v>
      </c>
      <c r="G102" s="2"/>
    </row>
    <row r="103" spans="1:9" x14ac:dyDescent="0.3">
      <c r="A103" s="11"/>
      <c r="B103" s="11"/>
      <c r="C103" s="11"/>
      <c r="D103" s="11"/>
      <c r="E103" s="11"/>
      <c r="F103" s="12"/>
      <c r="G103" s="12"/>
    </row>
    <row r="104" spans="1:9" x14ac:dyDescent="0.3">
      <c r="F104" s="2" t="s">
        <v>43</v>
      </c>
      <c r="G104" s="6">
        <f>+F102</f>
        <v>9.4434888888888877E-3</v>
      </c>
    </row>
    <row r="105" spans="1:9" x14ac:dyDescent="0.3">
      <c r="A105" s="1" t="s">
        <v>71</v>
      </c>
      <c r="B105" s="1"/>
      <c r="C105" s="1"/>
    </row>
    <row r="106" spans="1:9" x14ac:dyDescent="0.3">
      <c r="A106" s="5" t="s">
        <v>66</v>
      </c>
      <c r="B106" s="14">
        <f>+G104</f>
        <v>9.4434888888888877E-3</v>
      </c>
      <c r="C106" t="s">
        <v>15</v>
      </c>
    </row>
    <row r="107" spans="1:9" x14ac:dyDescent="0.3">
      <c r="A107" s="5" t="s">
        <v>56</v>
      </c>
      <c r="B107" s="7">
        <v>0.01</v>
      </c>
      <c r="D107" s="1"/>
    </row>
    <row r="108" spans="1:9" ht="18" customHeight="1" x14ac:dyDescent="0.35">
      <c r="A108" s="21" t="s">
        <v>93</v>
      </c>
      <c r="B108" s="15">
        <f>180*PI()/180</f>
        <v>3.1415926535897931</v>
      </c>
      <c r="C108" t="s">
        <v>58</v>
      </c>
    </row>
    <row r="109" spans="1:9" x14ac:dyDescent="0.3">
      <c r="A109" s="5" t="s">
        <v>38</v>
      </c>
      <c r="B109" s="7">
        <v>0.05</v>
      </c>
      <c r="C109" t="s">
        <v>50</v>
      </c>
    </row>
    <row r="110" spans="1:9" x14ac:dyDescent="0.3">
      <c r="A110" s="23" t="s">
        <v>57</v>
      </c>
      <c r="B110" s="22">
        <v>6</v>
      </c>
      <c r="C110" t="s">
        <v>65</v>
      </c>
      <c r="G110" s="13"/>
    </row>
    <row r="112" spans="1:9" x14ac:dyDescent="0.3">
      <c r="A112" s="8" t="s">
        <v>57</v>
      </c>
      <c r="B112" s="2" t="s">
        <v>38</v>
      </c>
      <c r="C112" s="5" t="s">
        <v>39</v>
      </c>
      <c r="D112" s="5" t="s">
        <v>40</v>
      </c>
      <c r="E112" s="5" t="s">
        <v>41</v>
      </c>
      <c r="F112" s="8" t="s">
        <v>99</v>
      </c>
      <c r="G112" s="8" t="s">
        <v>96</v>
      </c>
    </row>
    <row r="113" spans="1:7" x14ac:dyDescent="0.3">
      <c r="A113" s="9">
        <f>+B110*0.0254</f>
        <v>0.15239999999999998</v>
      </c>
      <c r="B113" s="2">
        <f>+B109</f>
        <v>0.05</v>
      </c>
      <c r="C113" s="4">
        <f>+((B108-SIN(B108))*(A113)^2)/8</f>
        <v>9.1207346237549575E-3</v>
      </c>
      <c r="D113" s="2">
        <f>+B108*A113/2</f>
        <v>0.23938936020354221</v>
      </c>
      <c r="E113" s="2">
        <f>(1-SIN(B108)/B108)*(A113)/4</f>
        <v>3.8099999999999995E-2</v>
      </c>
      <c r="F113" s="9">
        <f>C113*(E113^(2/3))*(B113^(1/2))/B107</f>
        <v>2.3092173170758012E-2</v>
      </c>
      <c r="G113" s="20">
        <f>+B106/C113</f>
        <v>1.0353868716115604</v>
      </c>
    </row>
    <row r="115" spans="1:7" x14ac:dyDescent="0.3">
      <c r="C115" s="1" t="s">
        <v>100</v>
      </c>
      <c r="D115" s="1"/>
      <c r="F115" s="1" t="str">
        <f>+IF(B106&lt;F113,"CUMPLE","NO CUMPLE")</f>
        <v>CUMPLE</v>
      </c>
      <c r="G115" s="1"/>
    </row>
    <row r="116" spans="1:7" x14ac:dyDescent="0.3">
      <c r="C116" s="1" t="s">
        <v>98</v>
      </c>
      <c r="D116" s="1"/>
      <c r="F116" s="1" t="str">
        <f>+IF(G113&lt;5,"CUMPLE","Verificar Diametro")</f>
        <v>CUMPLE</v>
      </c>
      <c r="G116" s="1"/>
    </row>
    <row r="117" spans="1:7" x14ac:dyDescent="0.3">
      <c r="C117" s="1" t="s">
        <v>69</v>
      </c>
      <c r="D117" s="1"/>
    </row>
    <row r="118" spans="1:7" x14ac:dyDescent="0.3">
      <c r="D118" s="27" t="s">
        <v>59</v>
      </c>
      <c r="E118" s="27">
        <f>IF(B106&lt;F113,A113/0.0254,"Modificar Diametro")</f>
        <v>5.9999999999999991</v>
      </c>
      <c r="F118" s="27" t="s">
        <v>65</v>
      </c>
    </row>
    <row r="121" spans="1:7" ht="18" x14ac:dyDescent="0.35">
      <c r="A121" s="10" t="s">
        <v>110</v>
      </c>
    </row>
    <row r="122" spans="1:7" x14ac:dyDescent="0.3">
      <c r="B122" s="2" t="s">
        <v>20</v>
      </c>
      <c r="C122" s="2" t="s">
        <v>13</v>
      </c>
      <c r="D122" s="2" t="s">
        <v>17</v>
      </c>
      <c r="E122" s="2" t="s">
        <v>22</v>
      </c>
      <c r="F122" s="2" t="s">
        <v>18</v>
      </c>
      <c r="G122" s="2" t="s">
        <v>19</v>
      </c>
    </row>
    <row r="123" spans="1:7" x14ac:dyDescent="0.3">
      <c r="A123" s="2" t="s">
        <v>54</v>
      </c>
      <c r="B123" s="47"/>
      <c r="C123" s="48"/>
      <c r="D123" s="48"/>
      <c r="E123" s="49"/>
      <c r="F123" s="6">
        <f>+B106</f>
        <v>9.4434888888888877E-3</v>
      </c>
      <c r="G123" s="2"/>
    </row>
    <row r="124" spans="1:7" x14ac:dyDescent="0.3">
      <c r="A124" s="2" t="s">
        <v>80</v>
      </c>
      <c r="B124" s="2">
        <f>20/10000</f>
        <v>2E-3</v>
      </c>
      <c r="C124" s="2">
        <v>0.97</v>
      </c>
      <c r="D124" s="2">
        <v>100</v>
      </c>
      <c r="E124" s="2"/>
      <c r="F124" s="6">
        <f t="shared" ref="F124" si="5">+B124*C124*D124/360</f>
        <v>5.3888888888888888E-4</v>
      </c>
      <c r="G124" s="6"/>
    </row>
    <row r="125" spans="1:7" x14ac:dyDescent="0.3">
      <c r="A125" s="11"/>
      <c r="B125" s="24"/>
      <c r="C125" s="24"/>
      <c r="D125" s="24"/>
      <c r="E125" s="24"/>
      <c r="F125" s="12"/>
      <c r="G125" s="11"/>
    </row>
    <row r="126" spans="1:7" x14ac:dyDescent="0.3">
      <c r="A126" s="11"/>
      <c r="B126" s="11"/>
      <c r="C126" s="11"/>
      <c r="D126" s="11"/>
      <c r="E126" s="11"/>
      <c r="F126" s="12"/>
      <c r="G126" s="12"/>
    </row>
    <row r="127" spans="1:7" x14ac:dyDescent="0.3">
      <c r="F127" s="2" t="s">
        <v>43</v>
      </c>
      <c r="G127" s="6">
        <f>+F123+F124</f>
        <v>9.9823777777777768E-3</v>
      </c>
    </row>
    <row r="129" spans="1:11" x14ac:dyDescent="0.3">
      <c r="A129" s="1" t="s">
        <v>33</v>
      </c>
      <c r="B129" s="1"/>
      <c r="C129" s="1"/>
    </row>
    <row r="130" spans="1:11" x14ac:dyDescent="0.3">
      <c r="A130" s="5" t="s">
        <v>34</v>
      </c>
      <c r="B130" s="14">
        <f>+G127</f>
        <v>9.9823777777777768E-3</v>
      </c>
      <c r="C130" t="s">
        <v>15</v>
      </c>
    </row>
    <row r="131" spans="1:11" x14ac:dyDescent="0.3">
      <c r="A131" s="5" t="s">
        <v>44</v>
      </c>
      <c r="B131" s="7">
        <v>1.2999999999999999E-2</v>
      </c>
    </row>
    <row r="132" spans="1:11" x14ac:dyDescent="0.3">
      <c r="A132" s="5" t="s">
        <v>35</v>
      </c>
      <c r="B132" s="7">
        <v>0</v>
      </c>
    </row>
    <row r="133" spans="1:11" x14ac:dyDescent="0.3">
      <c r="A133" s="5" t="s">
        <v>36</v>
      </c>
      <c r="B133" s="7">
        <v>0.3</v>
      </c>
      <c r="C133" t="s">
        <v>49</v>
      </c>
    </row>
    <row r="134" spans="1:11" x14ac:dyDescent="0.3">
      <c r="A134" s="5" t="s">
        <v>38</v>
      </c>
      <c r="B134" s="7">
        <v>0.01</v>
      </c>
      <c r="C134" t="s">
        <v>50</v>
      </c>
    </row>
    <row r="135" spans="1:11" x14ac:dyDescent="0.3">
      <c r="A135" s="5" t="s">
        <v>48</v>
      </c>
      <c r="B135" s="7">
        <v>0.43</v>
      </c>
      <c r="C135" t="s">
        <v>49</v>
      </c>
      <c r="G135" s="13"/>
      <c r="H135" s="13"/>
    </row>
    <row r="137" spans="1:11" x14ac:dyDescent="0.3">
      <c r="A137" s="8" t="s">
        <v>37</v>
      </c>
      <c r="B137" s="2" t="s">
        <v>38</v>
      </c>
      <c r="C137" s="5" t="s">
        <v>39</v>
      </c>
      <c r="D137" s="5" t="s">
        <v>40</v>
      </c>
      <c r="E137" s="5" t="s">
        <v>41</v>
      </c>
      <c r="F137" s="5" t="s">
        <v>34</v>
      </c>
      <c r="G137" s="17" t="s">
        <v>45</v>
      </c>
      <c r="H137" s="8" t="s">
        <v>60</v>
      </c>
      <c r="I137" s="17" t="s">
        <v>46</v>
      </c>
      <c r="J137" s="8" t="s">
        <v>101</v>
      </c>
      <c r="K137" s="8" t="s">
        <v>96</v>
      </c>
    </row>
    <row r="138" spans="1:11" x14ac:dyDescent="0.3">
      <c r="A138" s="9">
        <v>4.2431570258607838E-2</v>
      </c>
      <c r="B138" s="4">
        <f>+B134</f>
        <v>0.01</v>
      </c>
      <c r="C138" s="2">
        <f>+A138*B133</f>
        <v>1.2729471077582351E-2</v>
      </c>
      <c r="D138" s="2">
        <f>+B133+2*A138</f>
        <v>0.38486314051721565</v>
      </c>
      <c r="E138" s="2">
        <f>C138/D138</f>
        <v>3.3075318827558486E-2</v>
      </c>
      <c r="F138" s="2">
        <f>C138*(E138^(2/3))*(B138^(1/2))/B131</f>
        <v>1.0089501266158733E-2</v>
      </c>
      <c r="G138" s="31">
        <f>ROUND(A138,2)</f>
        <v>0.04</v>
      </c>
      <c r="H138" s="20">
        <f>+ROUND(G138,4)*100</f>
        <v>4</v>
      </c>
      <c r="I138" s="2">
        <f>4/5*B135</f>
        <v>0.34400000000000003</v>
      </c>
      <c r="J138" s="9">
        <f>+(B135-G138)*100</f>
        <v>39</v>
      </c>
      <c r="K138" s="20">
        <f>+B130/C138</f>
        <v>0.78419423061163696</v>
      </c>
    </row>
    <row r="140" spans="1:11" x14ac:dyDescent="0.3">
      <c r="F140" s="1" t="s">
        <v>47</v>
      </c>
      <c r="G140" s="1"/>
      <c r="H140" s="1"/>
      <c r="I140" s="1" t="str">
        <f>IF(G138&lt;I138,"CUMPLE","NO CUMPLE")</f>
        <v>CUMPLE</v>
      </c>
    </row>
    <row r="141" spans="1:11" x14ac:dyDescent="0.3">
      <c r="F141" s="1" t="s">
        <v>97</v>
      </c>
      <c r="G141" s="1"/>
      <c r="I141" s="1" t="str">
        <f>+IF(K138&lt;3,"CUMPLE","Verificar Ancho")</f>
        <v>CUMPLE</v>
      </c>
    </row>
    <row r="142" spans="1:11" x14ac:dyDescent="0.3">
      <c r="F142" s="1"/>
      <c r="G142" s="1"/>
      <c r="I142" s="1"/>
    </row>
    <row r="144" spans="1:11" ht="18" x14ac:dyDescent="0.35">
      <c r="A144" s="37" t="s">
        <v>111</v>
      </c>
    </row>
    <row r="145" spans="1:11" x14ac:dyDescent="0.3">
      <c r="B145" s="2" t="s">
        <v>20</v>
      </c>
      <c r="C145" s="2" t="s">
        <v>13</v>
      </c>
      <c r="D145" s="2" t="s">
        <v>17</v>
      </c>
      <c r="E145" s="2" t="s">
        <v>22</v>
      </c>
      <c r="F145" s="2" t="s">
        <v>18</v>
      </c>
      <c r="G145" s="2" t="s">
        <v>19</v>
      </c>
    </row>
    <row r="146" spans="1:11" x14ac:dyDescent="0.3">
      <c r="A146" s="2" t="s">
        <v>54</v>
      </c>
      <c r="B146" s="47"/>
      <c r="C146" s="48"/>
      <c r="D146" s="48"/>
      <c r="E146" s="49"/>
      <c r="F146" s="6">
        <f>+B130</f>
        <v>9.9823777777777768E-3</v>
      </c>
      <c r="G146" s="2"/>
    </row>
    <row r="147" spans="1:11" x14ac:dyDescent="0.3">
      <c r="A147" s="2" t="s">
        <v>83</v>
      </c>
      <c r="B147" s="2">
        <f>(685+35)/10000</f>
        <v>7.1999999999999995E-2</v>
      </c>
      <c r="C147" s="2">
        <v>0.97</v>
      </c>
      <c r="D147" s="2">
        <v>100</v>
      </c>
      <c r="E147" s="2"/>
      <c r="F147" s="6">
        <f t="shared" ref="F147" si="6">+B147*C147*D147/360</f>
        <v>1.9400000000000001E-2</v>
      </c>
      <c r="G147" s="6"/>
    </row>
    <row r="148" spans="1:11" x14ac:dyDescent="0.3">
      <c r="A148" s="11"/>
      <c r="B148" s="24"/>
      <c r="C148" s="24"/>
      <c r="D148" s="24"/>
      <c r="E148" s="24"/>
      <c r="F148" s="12"/>
      <c r="G148" s="11"/>
    </row>
    <row r="149" spans="1:11" x14ac:dyDescent="0.3">
      <c r="A149" s="11"/>
      <c r="B149" s="11"/>
      <c r="C149" s="11"/>
      <c r="D149" s="11"/>
      <c r="E149" s="11"/>
      <c r="F149" s="12"/>
      <c r="G149" s="12"/>
    </row>
    <row r="150" spans="1:11" x14ac:dyDescent="0.3">
      <c r="F150" s="2" t="s">
        <v>43</v>
      </c>
      <c r="G150" s="6">
        <f>+F146+F147</f>
        <v>2.9382377777777777E-2</v>
      </c>
    </row>
    <row r="152" spans="1:11" x14ac:dyDescent="0.3">
      <c r="A152" s="1" t="s">
        <v>33</v>
      </c>
      <c r="B152" s="1"/>
      <c r="C152" s="1"/>
    </row>
    <row r="153" spans="1:11" x14ac:dyDescent="0.3">
      <c r="A153" s="5" t="s">
        <v>34</v>
      </c>
      <c r="B153" s="14">
        <f>+G150</f>
        <v>2.9382377777777777E-2</v>
      </c>
      <c r="C153" t="s">
        <v>15</v>
      </c>
    </row>
    <row r="154" spans="1:11" x14ac:dyDescent="0.3">
      <c r="A154" s="5" t="s">
        <v>44</v>
      </c>
      <c r="B154" s="7">
        <v>1.2999999999999999E-2</v>
      </c>
    </row>
    <row r="155" spans="1:11" x14ac:dyDescent="0.3">
      <c r="A155" s="5" t="s">
        <v>35</v>
      </c>
      <c r="B155" s="7">
        <v>0</v>
      </c>
    </row>
    <row r="156" spans="1:11" x14ac:dyDescent="0.3">
      <c r="A156" s="5" t="s">
        <v>36</v>
      </c>
      <c r="B156" s="7">
        <v>0.3</v>
      </c>
      <c r="C156" t="s">
        <v>49</v>
      </c>
    </row>
    <row r="157" spans="1:11" x14ac:dyDescent="0.3">
      <c r="A157" s="5" t="s">
        <v>38</v>
      </c>
      <c r="B157" s="7">
        <v>0.01</v>
      </c>
      <c r="C157" t="s">
        <v>50</v>
      </c>
    </row>
    <row r="158" spans="1:11" x14ac:dyDescent="0.3">
      <c r="A158" s="5" t="s">
        <v>48</v>
      </c>
      <c r="B158" s="7">
        <v>0.56000000000000005</v>
      </c>
      <c r="C158" t="s">
        <v>49</v>
      </c>
      <c r="G158" s="13"/>
      <c r="H158" s="13"/>
    </row>
    <row r="160" spans="1:11" x14ac:dyDescent="0.3">
      <c r="A160" s="8" t="s">
        <v>37</v>
      </c>
      <c r="B160" s="2" t="s">
        <v>38</v>
      </c>
      <c r="C160" s="5" t="s">
        <v>39</v>
      </c>
      <c r="D160" s="5" t="s">
        <v>40</v>
      </c>
      <c r="E160" s="5" t="s">
        <v>41</v>
      </c>
      <c r="F160" s="5" t="s">
        <v>34</v>
      </c>
      <c r="G160" s="17" t="s">
        <v>45</v>
      </c>
      <c r="H160" s="8" t="s">
        <v>60</v>
      </c>
      <c r="I160" s="17" t="s">
        <v>46</v>
      </c>
      <c r="J160" s="8" t="s">
        <v>101</v>
      </c>
      <c r="K160" s="8" t="s">
        <v>96</v>
      </c>
    </row>
    <row r="161" spans="1:11" x14ac:dyDescent="0.3">
      <c r="A161" s="9">
        <v>8.8099576783244454E-2</v>
      </c>
      <c r="B161" s="4">
        <f>+B157</f>
        <v>0.01</v>
      </c>
      <c r="C161" s="2">
        <f>+A161*B156</f>
        <v>2.6429873034973336E-2</v>
      </c>
      <c r="D161" s="2">
        <f>+B156+2*A161</f>
        <v>0.4761991535664889</v>
      </c>
      <c r="E161" s="2">
        <f>C161/D161</f>
        <v>5.550172199389071E-2</v>
      </c>
      <c r="F161" s="2">
        <f>C161*(E161^(2/3))*(B161^(1/2))/B154</f>
        <v>2.958167057264522E-2</v>
      </c>
      <c r="G161" s="31">
        <f>ROUND(A161,2)</f>
        <v>0.09</v>
      </c>
      <c r="H161" s="20">
        <f>+ROUND(G161,4)*100</f>
        <v>9</v>
      </c>
      <c r="I161" s="2">
        <f>4/5*B158</f>
        <v>0.44800000000000006</v>
      </c>
      <c r="J161" s="9">
        <f>+(B158-G161)*100</f>
        <v>47.000000000000007</v>
      </c>
      <c r="K161" s="20">
        <f>+B153/C161</f>
        <v>1.1117108939152882</v>
      </c>
    </row>
    <row r="163" spans="1:11" x14ac:dyDescent="0.3">
      <c r="F163" s="1" t="s">
        <v>47</v>
      </c>
      <c r="G163" s="1"/>
      <c r="H163" s="1"/>
      <c r="I163" s="1" t="str">
        <f>IF(G161&lt;I161,"CUMPLE","NO CUMPLE")</f>
        <v>CUMPLE</v>
      </c>
    </row>
    <row r="164" spans="1:11" x14ac:dyDescent="0.3">
      <c r="F164" s="1" t="s">
        <v>97</v>
      </c>
      <c r="G164" s="1"/>
      <c r="I164" s="1" t="str">
        <f>+IF(K161&lt;3,"CUMPLE","Verificar Ancho")</f>
        <v>CUMPLE</v>
      </c>
    </row>
    <row r="165" spans="1:11" x14ac:dyDescent="0.3">
      <c r="F165" s="1"/>
      <c r="G165" s="1"/>
      <c r="I165" s="1"/>
    </row>
    <row r="167" spans="1:11" ht="18" x14ac:dyDescent="0.35">
      <c r="A167" s="26" t="s">
        <v>145</v>
      </c>
    </row>
    <row r="168" spans="1:11" x14ac:dyDescent="0.3">
      <c r="B168" s="2" t="s">
        <v>20</v>
      </c>
      <c r="C168" s="2" t="s">
        <v>13</v>
      </c>
      <c r="D168" s="2" t="s">
        <v>17</v>
      </c>
      <c r="E168" s="2" t="s">
        <v>22</v>
      </c>
      <c r="F168" s="2" t="s">
        <v>18</v>
      </c>
      <c r="G168" s="2" t="s">
        <v>19</v>
      </c>
    </row>
    <row r="169" spans="1:11" x14ac:dyDescent="0.3">
      <c r="A169" s="2" t="s">
        <v>86</v>
      </c>
      <c r="B169" s="2">
        <f>(116/2)/10000</f>
        <v>5.7999999999999996E-3</v>
      </c>
      <c r="C169" s="2">
        <v>0.97</v>
      </c>
      <c r="D169" s="2">
        <v>100</v>
      </c>
      <c r="E169" s="2"/>
      <c r="F169" s="6">
        <f t="shared" ref="F169:F170" si="7">+B169*C169*D169/360</f>
        <v>1.5627777777777775E-3</v>
      </c>
      <c r="G169" s="2"/>
    </row>
    <row r="170" spans="1:11" x14ac:dyDescent="0.3">
      <c r="A170" s="2" t="s">
        <v>87</v>
      </c>
      <c r="B170" s="2">
        <f>(136/2)/10000</f>
        <v>6.7999999999999996E-3</v>
      </c>
      <c r="C170" s="2">
        <v>0.97</v>
      </c>
      <c r="D170" s="2">
        <v>100</v>
      </c>
      <c r="E170" s="2"/>
      <c r="F170" s="6">
        <f t="shared" si="7"/>
        <v>1.8322222222222221E-3</v>
      </c>
      <c r="G170" s="6"/>
    </row>
    <row r="171" spans="1:11" x14ac:dyDescent="0.3">
      <c r="A171" s="11"/>
      <c r="B171" s="24"/>
      <c r="C171" s="24"/>
      <c r="D171" s="24"/>
      <c r="E171" s="24"/>
      <c r="F171" s="12"/>
      <c r="G171" s="11"/>
    </row>
    <row r="172" spans="1:11" x14ac:dyDescent="0.3">
      <c r="A172" s="11"/>
      <c r="B172" s="11"/>
      <c r="C172" s="11"/>
      <c r="D172" s="11"/>
      <c r="E172" s="11"/>
      <c r="F172" s="12"/>
      <c r="G172" s="12"/>
    </row>
    <row r="173" spans="1:11" x14ac:dyDescent="0.3">
      <c r="F173" s="2" t="s">
        <v>43</v>
      </c>
      <c r="G173" s="6">
        <f>+F169+F170</f>
        <v>3.3949999999999996E-3</v>
      </c>
    </row>
    <row r="175" spans="1:11" x14ac:dyDescent="0.3">
      <c r="A175" s="1" t="s">
        <v>33</v>
      </c>
      <c r="B175" s="1"/>
      <c r="C175" s="1"/>
    </row>
    <row r="176" spans="1:11" x14ac:dyDescent="0.3">
      <c r="A176" s="5" t="s">
        <v>34</v>
      </c>
      <c r="B176" s="14">
        <f>+G173</f>
        <v>3.3949999999999996E-3</v>
      </c>
      <c r="C176" t="s">
        <v>15</v>
      </c>
    </row>
    <row r="177" spans="1:11" x14ac:dyDescent="0.3">
      <c r="A177" s="5" t="s">
        <v>44</v>
      </c>
      <c r="B177" s="7">
        <v>1.2999999999999999E-2</v>
      </c>
    </row>
    <row r="178" spans="1:11" x14ac:dyDescent="0.3">
      <c r="A178" s="5" t="s">
        <v>35</v>
      </c>
      <c r="B178" s="7">
        <v>0</v>
      </c>
    </row>
    <row r="179" spans="1:11" x14ac:dyDescent="0.3">
      <c r="A179" s="5" t="s">
        <v>36</v>
      </c>
      <c r="B179" s="7">
        <v>0.3</v>
      </c>
      <c r="C179" t="s">
        <v>49</v>
      </c>
    </row>
    <row r="180" spans="1:11" x14ac:dyDescent="0.3">
      <c r="A180" s="5" t="s">
        <v>38</v>
      </c>
      <c r="B180" s="7">
        <v>0.01</v>
      </c>
      <c r="C180" t="s">
        <v>50</v>
      </c>
    </row>
    <row r="181" spans="1:11" x14ac:dyDescent="0.3">
      <c r="A181" s="5" t="s">
        <v>48</v>
      </c>
      <c r="B181" s="7">
        <v>0.85</v>
      </c>
      <c r="C181" t="s">
        <v>49</v>
      </c>
      <c r="G181" s="13"/>
      <c r="H181" s="13"/>
    </row>
    <row r="183" spans="1:11" x14ac:dyDescent="0.3">
      <c r="A183" s="8" t="s">
        <v>37</v>
      </c>
      <c r="B183" s="2" t="s">
        <v>38</v>
      </c>
      <c r="C183" s="5" t="s">
        <v>39</v>
      </c>
      <c r="D183" s="5" t="s">
        <v>40</v>
      </c>
      <c r="E183" s="5" t="s">
        <v>41</v>
      </c>
      <c r="F183" s="5" t="s">
        <v>34</v>
      </c>
      <c r="G183" s="17" t="s">
        <v>45</v>
      </c>
      <c r="H183" s="8" t="s">
        <v>60</v>
      </c>
      <c r="I183" s="17" t="s">
        <v>46</v>
      </c>
      <c r="J183" s="8" t="s">
        <v>101</v>
      </c>
      <c r="K183" s="8" t="s">
        <v>96</v>
      </c>
    </row>
    <row r="184" spans="1:11" x14ac:dyDescent="0.3">
      <c r="A184" s="9">
        <v>2.421799179125423E-2</v>
      </c>
      <c r="B184" s="4">
        <f>+B180</f>
        <v>0.01</v>
      </c>
      <c r="C184" s="2">
        <f>+A184*B179</f>
        <v>7.2653975373762683E-3</v>
      </c>
      <c r="D184" s="2">
        <f>+B179+2*A184</f>
        <v>0.34843598358250844</v>
      </c>
      <c r="E184" s="2">
        <f>C184/D184</f>
        <v>2.0851455876272455E-2</v>
      </c>
      <c r="F184" s="2">
        <f>C184*(E184^(2/3))*(B184^(1/2))/B177</f>
        <v>4.2338969720198778E-3</v>
      </c>
      <c r="G184" s="31">
        <f>ROUND(A184,2)</f>
        <v>0.02</v>
      </c>
      <c r="H184" s="20">
        <f>+ROUND(G184,4)*100</f>
        <v>2</v>
      </c>
      <c r="I184" s="2">
        <f>4/5*B181</f>
        <v>0.68</v>
      </c>
      <c r="J184" s="9">
        <f>+(B181-G184)*100</f>
        <v>83</v>
      </c>
      <c r="K184" s="20">
        <f>+B176/C184</f>
        <v>0.46728344629935087</v>
      </c>
    </row>
    <row r="186" spans="1:11" x14ac:dyDescent="0.3">
      <c r="F186" s="1" t="s">
        <v>47</v>
      </c>
      <c r="G186" s="1"/>
      <c r="H186" s="1"/>
      <c r="I186" s="1" t="str">
        <f>IF(G184&lt;I184,"CUMPLE","NO CUMPLE")</f>
        <v>CUMPLE</v>
      </c>
    </row>
    <row r="187" spans="1:11" x14ac:dyDescent="0.3">
      <c r="F187" s="1" t="s">
        <v>97</v>
      </c>
      <c r="G187" s="1"/>
      <c r="I187" s="1" t="str">
        <f>+IF(K184&lt;3,"CUMPLE","Verificar Ancho")</f>
        <v>CUMPLE</v>
      </c>
    </row>
    <row r="188" spans="1:11" x14ac:dyDescent="0.3">
      <c r="F188" s="1"/>
      <c r="G188" s="1"/>
      <c r="I188" s="1"/>
    </row>
    <row r="190" spans="1:11" ht="18" x14ac:dyDescent="0.35">
      <c r="A190" s="37" t="s">
        <v>127</v>
      </c>
    </row>
    <row r="191" spans="1:11" x14ac:dyDescent="0.3">
      <c r="B191" s="2" t="s">
        <v>20</v>
      </c>
      <c r="C191" s="2" t="s">
        <v>13</v>
      </c>
      <c r="D191" s="2" t="s">
        <v>17</v>
      </c>
      <c r="E191" s="2" t="s">
        <v>22</v>
      </c>
      <c r="F191" s="2" t="s">
        <v>18</v>
      </c>
      <c r="G191" s="2" t="s">
        <v>19</v>
      </c>
    </row>
    <row r="192" spans="1:11" x14ac:dyDescent="0.3">
      <c r="A192" s="2" t="s">
        <v>54</v>
      </c>
      <c r="B192" s="47"/>
      <c r="C192" s="48"/>
      <c r="D192" s="48"/>
      <c r="E192" s="49"/>
      <c r="F192" s="6">
        <f>+B176</f>
        <v>3.3949999999999996E-3</v>
      </c>
      <c r="G192" s="2"/>
    </row>
    <row r="193" spans="1:7" x14ac:dyDescent="0.3">
      <c r="A193" s="2" t="s">
        <v>87</v>
      </c>
      <c r="B193" s="2">
        <f>50/10000</f>
        <v>5.0000000000000001E-3</v>
      </c>
      <c r="C193" s="2">
        <v>0.97</v>
      </c>
      <c r="D193" s="2">
        <v>100</v>
      </c>
      <c r="E193" s="2"/>
      <c r="F193" s="6">
        <f t="shared" ref="F193" si="8">+B193*C193*D193/360</f>
        <v>1.3472222222222221E-3</v>
      </c>
      <c r="G193" s="6"/>
    </row>
    <row r="194" spans="1:7" x14ac:dyDescent="0.3">
      <c r="A194" s="11"/>
      <c r="B194" s="11"/>
      <c r="C194" s="11"/>
      <c r="D194" s="11"/>
      <c r="E194" s="11"/>
      <c r="F194" s="12"/>
      <c r="G194" s="12"/>
    </row>
    <row r="195" spans="1:7" x14ac:dyDescent="0.3">
      <c r="F195" s="2" t="s">
        <v>43</v>
      </c>
      <c r="G195" s="6">
        <f>+F192+F193</f>
        <v>4.7422222222222215E-3</v>
      </c>
    </row>
    <row r="196" spans="1:7" x14ac:dyDescent="0.3">
      <c r="A196" s="1" t="s">
        <v>71</v>
      </c>
      <c r="B196" s="1"/>
      <c r="C196" s="1"/>
    </row>
    <row r="197" spans="1:7" x14ac:dyDescent="0.3">
      <c r="A197" s="5" t="s">
        <v>66</v>
      </c>
      <c r="B197" s="14">
        <f>+G195</f>
        <v>4.7422222222222215E-3</v>
      </c>
      <c r="C197" t="s">
        <v>15</v>
      </c>
    </row>
    <row r="198" spans="1:7" x14ac:dyDescent="0.3">
      <c r="A198" s="5" t="s">
        <v>56</v>
      </c>
      <c r="B198" s="7">
        <v>0.01</v>
      </c>
      <c r="D198" s="1"/>
    </row>
    <row r="199" spans="1:7" ht="18" x14ac:dyDescent="0.35">
      <c r="A199" s="21" t="s">
        <v>68</v>
      </c>
      <c r="B199" s="15">
        <f>300*PI()/180</f>
        <v>5.2359877559829888</v>
      </c>
      <c r="C199" t="s">
        <v>58</v>
      </c>
    </row>
    <row r="200" spans="1:7" x14ac:dyDescent="0.3">
      <c r="A200" s="5" t="s">
        <v>38</v>
      </c>
      <c r="B200" s="7">
        <v>0.03</v>
      </c>
      <c r="C200" t="s">
        <v>50</v>
      </c>
    </row>
    <row r="201" spans="1:7" x14ac:dyDescent="0.3">
      <c r="A201" s="23" t="s">
        <v>57</v>
      </c>
      <c r="B201" s="22">
        <v>4</v>
      </c>
      <c r="C201" t="s">
        <v>65</v>
      </c>
      <c r="G201" s="13"/>
    </row>
    <row r="203" spans="1:7" x14ac:dyDescent="0.3">
      <c r="A203" s="8" t="s">
        <v>57</v>
      </c>
      <c r="B203" s="2" t="s">
        <v>38</v>
      </c>
      <c r="C203" s="5" t="s">
        <v>39</v>
      </c>
      <c r="D203" s="5" t="s">
        <v>40</v>
      </c>
      <c r="E203" s="5" t="s">
        <v>41</v>
      </c>
      <c r="F203" s="8" t="s">
        <v>99</v>
      </c>
      <c r="G203" s="8" t="s">
        <v>96</v>
      </c>
    </row>
    <row r="204" spans="1:7" x14ac:dyDescent="0.3">
      <c r="A204" s="9">
        <f>+B201*0.0254</f>
        <v>0.1016</v>
      </c>
      <c r="B204" s="2">
        <f>+B200</f>
        <v>0.03</v>
      </c>
      <c r="C204" s="4">
        <f>+((B199-SIN(B199))*(A204)^2)/8</f>
        <v>7.8735496203111068E-3</v>
      </c>
      <c r="D204" s="2">
        <f>+B199*A204/2</f>
        <v>0.26598817800393582</v>
      </c>
      <c r="E204" s="2">
        <f>(1-SIN(B199)/B199)*(A204)/4</f>
        <v>2.9601126183114054E-2</v>
      </c>
      <c r="F204" s="9">
        <f>C204*(E204^(2/3))*(B204^(1/2))/B198</f>
        <v>1.3049784872664146E-2</v>
      </c>
      <c r="G204" s="20">
        <f>+B197/C204</f>
        <v>0.60229787718475603</v>
      </c>
    </row>
    <row r="206" spans="1:7" x14ac:dyDescent="0.3">
      <c r="C206" s="1" t="s">
        <v>100</v>
      </c>
      <c r="D206" s="1"/>
      <c r="F206" s="1" t="str">
        <f>+IF(B197&lt;F204,"CUMPLE","NO CUMPLE")</f>
        <v>CUMPLE</v>
      </c>
      <c r="G206" s="1"/>
    </row>
    <row r="207" spans="1:7" x14ac:dyDescent="0.3">
      <c r="C207" s="1" t="s">
        <v>98</v>
      </c>
      <c r="D207" s="1"/>
      <c r="F207" s="1" t="str">
        <f>+IF(G204&lt;5,"CUMPLE","Verificar Diametro")</f>
        <v>CUMPLE</v>
      </c>
      <c r="G207" s="1"/>
    </row>
    <row r="208" spans="1:7" x14ac:dyDescent="0.3">
      <c r="C208" s="1" t="s">
        <v>69</v>
      </c>
      <c r="D208" s="1"/>
    </row>
    <row r="209" spans="1:7" x14ac:dyDescent="0.3">
      <c r="D209" s="27" t="s">
        <v>59</v>
      </c>
      <c r="E209" s="27">
        <f>IF(B197&lt;F204,A204/0.0254,"Modificar Diametro")</f>
        <v>4</v>
      </c>
      <c r="F209" s="27" t="s">
        <v>65</v>
      </c>
    </row>
    <row r="212" spans="1:7" ht="18" x14ac:dyDescent="0.35">
      <c r="A212" s="10" t="s">
        <v>146</v>
      </c>
    </row>
    <row r="213" spans="1:7" x14ac:dyDescent="0.3">
      <c r="B213" s="2" t="s">
        <v>20</v>
      </c>
      <c r="C213" s="2" t="s">
        <v>13</v>
      </c>
      <c r="D213" s="2" t="s">
        <v>17</v>
      </c>
      <c r="E213" s="2" t="s">
        <v>22</v>
      </c>
      <c r="F213" s="2" t="s">
        <v>18</v>
      </c>
      <c r="G213" s="2" t="s">
        <v>19</v>
      </c>
    </row>
    <row r="214" spans="1:7" x14ac:dyDescent="0.3">
      <c r="A214" s="2" t="s">
        <v>54</v>
      </c>
      <c r="B214" s="47"/>
      <c r="C214" s="48"/>
      <c r="D214" s="48"/>
      <c r="E214" s="49"/>
      <c r="F214" s="6">
        <f>+B197</f>
        <v>4.7422222222222215E-3</v>
      </c>
      <c r="G214" s="2"/>
    </row>
    <row r="215" spans="1:7" x14ac:dyDescent="0.3">
      <c r="A215" s="2" t="s">
        <v>94</v>
      </c>
      <c r="B215" s="2">
        <f>(360-45+20+136*0.5+90*0.5)/10000</f>
        <v>4.48E-2</v>
      </c>
      <c r="C215" s="2">
        <v>0.97</v>
      </c>
      <c r="D215" s="2">
        <v>100</v>
      </c>
      <c r="E215" s="2"/>
      <c r="F215" s="6">
        <f t="shared" ref="F215:F216" si="9">+B215*C215*D215/360</f>
        <v>1.2071111111111112E-2</v>
      </c>
      <c r="G215" s="2"/>
    </row>
    <row r="216" spans="1:7" x14ac:dyDescent="0.3">
      <c r="A216" s="2" t="s">
        <v>128</v>
      </c>
      <c r="B216" s="2">
        <f>(0.5*660)/10000</f>
        <v>3.3000000000000002E-2</v>
      </c>
      <c r="C216" s="2">
        <v>0.97</v>
      </c>
      <c r="D216" s="2">
        <v>100</v>
      </c>
      <c r="E216" s="2"/>
      <c r="F216" s="6">
        <f t="shared" si="9"/>
        <v>8.8916666666666675E-3</v>
      </c>
      <c r="G216" s="2"/>
    </row>
    <row r="217" spans="1:7" x14ac:dyDescent="0.3">
      <c r="A217" s="11"/>
      <c r="B217" s="11"/>
      <c r="C217" s="11"/>
      <c r="D217" s="11"/>
      <c r="E217" s="11"/>
      <c r="F217" s="12"/>
      <c r="G217" s="12"/>
    </row>
    <row r="218" spans="1:7" x14ac:dyDescent="0.3">
      <c r="F218" s="2" t="s">
        <v>43</v>
      </c>
      <c r="G218" s="6">
        <f>+F214+F215+F216</f>
        <v>2.5704999999999999E-2</v>
      </c>
    </row>
    <row r="220" spans="1:7" x14ac:dyDescent="0.3">
      <c r="A220" s="1" t="s">
        <v>33</v>
      </c>
      <c r="B220" s="1"/>
      <c r="C220" s="1"/>
    </row>
    <row r="221" spans="1:7" x14ac:dyDescent="0.3">
      <c r="A221" s="5" t="s">
        <v>34</v>
      </c>
      <c r="B221" s="14">
        <f>+G218</f>
        <v>2.5704999999999999E-2</v>
      </c>
      <c r="C221" t="s">
        <v>15</v>
      </c>
    </row>
    <row r="222" spans="1:7" x14ac:dyDescent="0.3">
      <c r="A222" s="5" t="s">
        <v>44</v>
      </c>
      <c r="B222" s="7">
        <v>1.2999999999999999E-2</v>
      </c>
    </row>
    <row r="223" spans="1:7" x14ac:dyDescent="0.3">
      <c r="A223" s="5" t="s">
        <v>35</v>
      </c>
      <c r="B223" s="7">
        <v>0</v>
      </c>
    </row>
    <row r="224" spans="1:7" x14ac:dyDescent="0.3">
      <c r="A224" s="5" t="s">
        <v>36</v>
      </c>
      <c r="B224" s="7">
        <v>0.3</v>
      </c>
      <c r="C224" t="s">
        <v>49</v>
      </c>
    </row>
    <row r="225" spans="1:11" x14ac:dyDescent="0.3">
      <c r="A225" s="5" t="s">
        <v>38</v>
      </c>
      <c r="B225" s="7">
        <v>0.01</v>
      </c>
      <c r="C225" t="s">
        <v>50</v>
      </c>
    </row>
    <row r="226" spans="1:11" x14ac:dyDescent="0.3">
      <c r="A226" s="5" t="s">
        <v>48</v>
      </c>
      <c r="B226" s="7">
        <v>0.81</v>
      </c>
      <c r="C226" t="s">
        <v>49</v>
      </c>
      <c r="G226" s="13"/>
      <c r="H226" s="13"/>
    </row>
    <row r="228" spans="1:11" x14ac:dyDescent="0.3">
      <c r="A228" s="8" t="s">
        <v>37</v>
      </c>
      <c r="B228" s="2" t="s">
        <v>38</v>
      </c>
      <c r="C228" s="5" t="s">
        <v>39</v>
      </c>
      <c r="D228" s="5" t="s">
        <v>40</v>
      </c>
      <c r="E228" s="5" t="s">
        <v>41</v>
      </c>
      <c r="F228" s="5" t="s">
        <v>34</v>
      </c>
      <c r="G228" s="17" t="s">
        <v>45</v>
      </c>
      <c r="H228" s="8" t="s">
        <v>60</v>
      </c>
      <c r="I228" s="17" t="s">
        <v>46</v>
      </c>
      <c r="J228" s="8" t="s">
        <v>101</v>
      </c>
      <c r="K228" s="8" t="s">
        <v>96</v>
      </c>
    </row>
    <row r="229" spans="1:11" x14ac:dyDescent="0.3">
      <c r="A229" s="9">
        <v>8.1218670725292388E-2</v>
      </c>
      <c r="B229" s="4">
        <f>+B225</f>
        <v>0.01</v>
      </c>
      <c r="C229" s="2">
        <f>+A229*B224</f>
        <v>2.4365601217587716E-2</v>
      </c>
      <c r="D229" s="2">
        <f>+B224+2*A229</f>
        <v>0.46243734145058479</v>
      </c>
      <c r="E229" s="2">
        <f>C229/D229</f>
        <v>5.2689519278778615E-2</v>
      </c>
      <c r="F229" s="2">
        <f>C229*(E229^(2/3))*(B229^(1/2))/B222</f>
        <v>2.634207228645985E-2</v>
      </c>
      <c r="G229" s="31">
        <f>ROUND(A229,2)</f>
        <v>0.08</v>
      </c>
      <c r="H229" s="20">
        <f>+ROUND(G229,4)*100</f>
        <v>8</v>
      </c>
      <c r="I229" s="2">
        <f>4/5*B226</f>
        <v>0.64800000000000013</v>
      </c>
      <c r="J229" s="9">
        <f>+(B226-G229)*100</f>
        <v>73.000000000000014</v>
      </c>
      <c r="K229" s="20">
        <f>+B221/C229</f>
        <v>1.0549708899218735</v>
      </c>
    </row>
    <row r="231" spans="1:11" x14ac:dyDescent="0.3">
      <c r="F231" s="1" t="s">
        <v>47</v>
      </c>
      <c r="G231" s="1"/>
      <c r="H231" s="1"/>
      <c r="I231" s="1" t="str">
        <f>IF(G229&lt;I229,"CUMPLE","NO CUMPLE")</f>
        <v>CUMPLE</v>
      </c>
    </row>
    <row r="232" spans="1:11" x14ac:dyDescent="0.3">
      <c r="F232" s="1" t="s">
        <v>97</v>
      </c>
      <c r="G232" s="1"/>
      <c r="I232" s="1" t="str">
        <f>+IF(K229&lt;3,"CUMPLE","Verificar Ancho")</f>
        <v>CUMPLE</v>
      </c>
    </row>
    <row r="233" spans="1:11" x14ac:dyDescent="0.3">
      <c r="F233" s="1"/>
      <c r="G233" s="1"/>
      <c r="I233" s="1"/>
    </row>
    <row r="234" spans="1:11" x14ac:dyDescent="0.3">
      <c r="F234" s="1"/>
      <c r="G234" s="1"/>
      <c r="I234" s="1"/>
    </row>
    <row r="235" spans="1:11" ht="18" x14ac:dyDescent="0.35">
      <c r="A235" s="37" t="s">
        <v>147</v>
      </c>
    </row>
    <row r="236" spans="1:11" x14ac:dyDescent="0.3">
      <c r="B236" s="2" t="s">
        <v>20</v>
      </c>
      <c r="C236" s="2" t="s">
        <v>13</v>
      </c>
      <c r="D236" s="2" t="s">
        <v>17</v>
      </c>
      <c r="E236" s="2" t="s">
        <v>22</v>
      </c>
      <c r="F236" s="2" t="s">
        <v>18</v>
      </c>
      <c r="G236" s="2" t="s">
        <v>19</v>
      </c>
    </row>
    <row r="237" spans="1:11" x14ac:dyDescent="0.3">
      <c r="A237" s="2" t="s">
        <v>54</v>
      </c>
      <c r="B237" s="47"/>
      <c r="C237" s="48"/>
      <c r="D237" s="48"/>
      <c r="E237" s="49"/>
      <c r="F237" s="6">
        <f>+B221</f>
        <v>2.5704999999999999E-2</v>
      </c>
      <c r="G237" s="2"/>
    </row>
    <row r="238" spans="1:11" x14ac:dyDescent="0.3">
      <c r="A238" s="11"/>
      <c r="B238" s="11"/>
      <c r="C238" s="11"/>
      <c r="D238" s="11"/>
      <c r="E238" s="11"/>
      <c r="F238" s="12"/>
      <c r="G238" s="12"/>
    </row>
    <row r="239" spans="1:11" x14ac:dyDescent="0.3">
      <c r="F239" s="2" t="s">
        <v>43</v>
      </c>
      <c r="G239" s="6">
        <f>+F237</f>
        <v>2.5704999999999999E-2</v>
      </c>
    </row>
    <row r="240" spans="1:11" x14ac:dyDescent="0.3">
      <c r="A240" s="1" t="s">
        <v>71</v>
      </c>
      <c r="B240" s="1"/>
      <c r="C240" s="1"/>
    </row>
    <row r="241" spans="1:7" x14ac:dyDescent="0.3">
      <c r="A241" s="5" t="s">
        <v>66</v>
      </c>
      <c r="B241" s="14">
        <f>+G239</f>
        <v>2.5704999999999999E-2</v>
      </c>
      <c r="C241" t="s">
        <v>15</v>
      </c>
    </row>
    <row r="242" spans="1:7" x14ac:dyDescent="0.3">
      <c r="A242" s="5" t="s">
        <v>56</v>
      </c>
      <c r="B242" s="7">
        <v>0.01</v>
      </c>
      <c r="D242" s="1"/>
    </row>
    <row r="243" spans="1:7" ht="18" x14ac:dyDescent="0.35">
      <c r="A243" s="21" t="s">
        <v>93</v>
      </c>
      <c r="B243" s="15">
        <f>180*PI()/180</f>
        <v>3.1415926535897931</v>
      </c>
      <c r="C243" t="s">
        <v>58</v>
      </c>
    </row>
    <row r="244" spans="1:7" x14ac:dyDescent="0.3">
      <c r="A244" s="5" t="s">
        <v>90</v>
      </c>
      <c r="B244" s="7">
        <v>3.6999999999999998E-2</v>
      </c>
      <c r="C244" t="s">
        <v>50</v>
      </c>
    </row>
    <row r="245" spans="1:7" x14ac:dyDescent="0.3">
      <c r="A245" s="23" t="s">
        <v>57</v>
      </c>
      <c r="B245" s="22">
        <v>8</v>
      </c>
      <c r="C245" t="s">
        <v>65</v>
      </c>
      <c r="G245" s="13"/>
    </row>
    <row r="247" spans="1:7" x14ac:dyDescent="0.3">
      <c r="A247" s="8" t="s">
        <v>57</v>
      </c>
      <c r="B247" s="2" t="s">
        <v>38</v>
      </c>
      <c r="C247" s="5" t="s">
        <v>39</v>
      </c>
      <c r="D247" s="5" t="s">
        <v>40</v>
      </c>
      <c r="E247" s="5" t="s">
        <v>41</v>
      </c>
      <c r="F247" s="8" t="s">
        <v>99</v>
      </c>
      <c r="G247" s="8" t="s">
        <v>96</v>
      </c>
    </row>
    <row r="248" spans="1:7" x14ac:dyDescent="0.3">
      <c r="A248" s="9">
        <f>+B245*0.0254</f>
        <v>0.20319999999999999</v>
      </c>
      <c r="B248" s="2">
        <f>+B244</f>
        <v>3.6999999999999998E-2</v>
      </c>
      <c r="C248" s="4">
        <f>+((B243-SIN(B243))*(A248)^2)/8</f>
        <v>1.6214639331119926E-2</v>
      </c>
      <c r="D248" s="2">
        <f>+B243*A248/2</f>
        <v>0.31918581360472298</v>
      </c>
      <c r="E248" s="2">
        <f>(1-SIN(B243)/B243)*(A248)/4</f>
        <v>5.0799999999999998E-2</v>
      </c>
      <c r="F248" s="9">
        <f>C248*(E248^(2/3))*(B248^(1/2))/B242</f>
        <v>4.2780970239833516E-2</v>
      </c>
      <c r="G248" s="20">
        <f>+B241/C248</f>
        <v>1.5852958228102989</v>
      </c>
    </row>
    <row r="250" spans="1:7" x14ac:dyDescent="0.3">
      <c r="C250" s="1" t="s">
        <v>100</v>
      </c>
      <c r="D250" s="1"/>
      <c r="F250" s="1" t="str">
        <f>+IF(B241&lt;F248,"CUMPLE","NO CUMPLE")</f>
        <v>CUMPLE</v>
      </c>
      <c r="G250" s="1"/>
    </row>
    <row r="251" spans="1:7" x14ac:dyDescent="0.3">
      <c r="C251" s="1" t="s">
        <v>98</v>
      </c>
      <c r="D251" s="1"/>
      <c r="F251" s="1" t="str">
        <f>+IF(G248&lt;5,"CUMPLE","Verificar Diametro")</f>
        <v>CUMPLE</v>
      </c>
      <c r="G251" s="1"/>
    </row>
    <row r="252" spans="1:7" x14ac:dyDescent="0.3">
      <c r="C252" s="1" t="s">
        <v>69</v>
      </c>
      <c r="D252" s="1"/>
    </row>
    <row r="253" spans="1:7" x14ac:dyDescent="0.3">
      <c r="D253" s="27" t="s">
        <v>59</v>
      </c>
      <c r="E253" s="27">
        <f>IF(B241&lt;F248,A248/0.0254,"Modificar Diametro")</f>
        <v>8</v>
      </c>
      <c r="F253" s="27" t="s">
        <v>65</v>
      </c>
    </row>
    <row r="255" spans="1:7" ht="18" x14ac:dyDescent="0.35">
      <c r="A255" s="10" t="s">
        <v>114</v>
      </c>
    </row>
    <row r="256" spans="1:7" x14ac:dyDescent="0.3">
      <c r="B256" s="2" t="s">
        <v>20</v>
      </c>
      <c r="C256" s="2" t="s">
        <v>13</v>
      </c>
      <c r="D256" s="2" t="s">
        <v>17</v>
      </c>
      <c r="E256" s="2" t="s">
        <v>22</v>
      </c>
      <c r="F256" s="2" t="s">
        <v>18</v>
      </c>
      <c r="G256" s="2" t="s">
        <v>19</v>
      </c>
    </row>
    <row r="257" spans="1:11" x14ac:dyDescent="0.3">
      <c r="A257" s="2" t="s">
        <v>54</v>
      </c>
      <c r="B257" s="47"/>
      <c r="C257" s="48"/>
      <c r="D257" s="48"/>
      <c r="E257" s="49"/>
      <c r="F257" s="6">
        <f>+B153+B241</f>
        <v>5.508737777777778E-2</v>
      </c>
      <c r="G257" s="2"/>
    </row>
    <row r="258" spans="1:11" x14ac:dyDescent="0.3">
      <c r="A258" s="2" t="s">
        <v>128</v>
      </c>
      <c r="B258" s="2">
        <f>(0.25*660)/10000</f>
        <v>1.6500000000000001E-2</v>
      </c>
      <c r="C258" s="2">
        <v>0.97</v>
      </c>
      <c r="D258" s="2">
        <v>100</v>
      </c>
      <c r="E258" s="2"/>
      <c r="F258" s="6">
        <f t="shared" ref="F258:F259" si="10">+B258*C258*D258/360</f>
        <v>4.4458333333333338E-3</v>
      </c>
      <c r="G258" s="2"/>
    </row>
    <row r="259" spans="1:11" x14ac:dyDescent="0.3">
      <c r="A259" s="2" t="s">
        <v>94</v>
      </c>
      <c r="B259" s="2">
        <f>(45)/10000</f>
        <v>4.4999999999999997E-3</v>
      </c>
      <c r="C259" s="2">
        <v>0.97</v>
      </c>
      <c r="D259" s="2">
        <v>100</v>
      </c>
      <c r="E259" s="2"/>
      <c r="F259" s="6">
        <f t="shared" si="10"/>
        <v>1.2125E-3</v>
      </c>
      <c r="G259" s="2"/>
    </row>
    <row r="260" spans="1:11" x14ac:dyDescent="0.3">
      <c r="A260" s="11"/>
      <c r="B260" s="11"/>
      <c r="C260" s="11"/>
      <c r="D260" s="11"/>
      <c r="E260" s="11"/>
      <c r="F260" s="12"/>
      <c r="G260" s="12"/>
    </row>
    <row r="261" spans="1:11" x14ac:dyDescent="0.3">
      <c r="F261" s="2" t="s">
        <v>43</v>
      </c>
      <c r="G261" s="6">
        <f>+F257+F258+F259</f>
        <v>6.0745711111111114E-2</v>
      </c>
    </row>
    <row r="263" spans="1:11" x14ac:dyDescent="0.3">
      <c r="A263" s="1" t="s">
        <v>33</v>
      </c>
      <c r="B263" s="1"/>
      <c r="C263" s="1"/>
    </row>
    <row r="264" spans="1:11" x14ac:dyDescent="0.3">
      <c r="A264" s="5" t="s">
        <v>34</v>
      </c>
      <c r="B264" s="14">
        <f>+G261</f>
        <v>6.0745711111111114E-2</v>
      </c>
      <c r="C264" t="s">
        <v>15</v>
      </c>
    </row>
    <row r="265" spans="1:11" x14ac:dyDescent="0.3">
      <c r="A265" s="5" t="s">
        <v>44</v>
      </c>
      <c r="B265" s="7">
        <v>1.2999999999999999E-2</v>
      </c>
    </row>
    <row r="266" spans="1:11" x14ac:dyDescent="0.3">
      <c r="A266" s="5" t="s">
        <v>35</v>
      </c>
      <c r="B266" s="7">
        <v>0</v>
      </c>
    </row>
    <row r="267" spans="1:11" x14ac:dyDescent="0.3">
      <c r="A267" s="5" t="s">
        <v>36</v>
      </c>
      <c r="B267" s="7">
        <v>0.3</v>
      </c>
      <c r="C267" t="s">
        <v>49</v>
      </c>
    </row>
    <row r="268" spans="1:11" x14ac:dyDescent="0.3">
      <c r="A268" s="5" t="s">
        <v>38</v>
      </c>
      <c r="B268" s="7">
        <v>0.01</v>
      </c>
      <c r="C268" t="s">
        <v>50</v>
      </c>
    </row>
    <row r="269" spans="1:11" x14ac:dyDescent="0.3">
      <c r="A269" s="5" t="s">
        <v>48</v>
      </c>
      <c r="B269" s="7">
        <v>0.69</v>
      </c>
      <c r="C269" t="s">
        <v>49</v>
      </c>
      <c r="G269" s="13"/>
      <c r="H269" s="13"/>
    </row>
    <row r="271" spans="1:11" x14ac:dyDescent="0.3">
      <c r="A271" s="8" t="s">
        <v>37</v>
      </c>
      <c r="B271" s="2" t="s">
        <v>38</v>
      </c>
      <c r="C271" s="5" t="s">
        <v>39</v>
      </c>
      <c r="D271" s="5" t="s">
        <v>40</v>
      </c>
      <c r="E271" s="5" t="s">
        <v>41</v>
      </c>
      <c r="F271" s="5" t="s">
        <v>34</v>
      </c>
      <c r="G271" s="17" t="s">
        <v>45</v>
      </c>
      <c r="H271" s="8" t="s">
        <v>60</v>
      </c>
      <c r="I271" s="17" t="s">
        <v>46</v>
      </c>
      <c r="J271" s="8" t="s">
        <v>101</v>
      </c>
      <c r="K271" s="8" t="s">
        <v>96</v>
      </c>
    </row>
    <row r="272" spans="1:11" x14ac:dyDescent="0.3">
      <c r="A272" s="9">
        <v>0.15016138662534165</v>
      </c>
      <c r="B272" s="4">
        <f>+B268</f>
        <v>0.01</v>
      </c>
      <c r="C272" s="2">
        <f>+A272*B267</f>
        <v>4.5048415987602494E-2</v>
      </c>
      <c r="D272" s="2">
        <f>+B267+2*A272</f>
        <v>0.60032277325068328</v>
      </c>
      <c r="E272" s="2">
        <f>C272/D272</f>
        <v>7.5040324963302929E-2</v>
      </c>
      <c r="F272" s="2">
        <f>C272*(E272^(2/3))*(B272^(1/2))/B265</f>
        <v>6.1649937855113593E-2</v>
      </c>
      <c r="G272" s="31">
        <f>ROUND(A272,2)</f>
        <v>0.15</v>
      </c>
      <c r="H272" s="20">
        <f>+ROUND(G272,4)*100</f>
        <v>15</v>
      </c>
      <c r="I272" s="2">
        <f>4/5*B269</f>
        <v>0.55199999999999994</v>
      </c>
      <c r="J272" s="9">
        <f>+(B269-G272)*100</f>
        <v>53.999999999999993</v>
      </c>
      <c r="K272" s="20">
        <f>+B264/C272</f>
        <v>1.3484538752223514</v>
      </c>
    </row>
    <row r="274" spans="1:9" x14ac:dyDescent="0.3">
      <c r="F274" s="1" t="s">
        <v>47</v>
      </c>
      <c r="G274" s="1"/>
      <c r="H274" s="1"/>
      <c r="I274" s="1" t="str">
        <f>IF(G272&lt;I272,"CUMPLE","NO CUMPLE")</f>
        <v>CUMPLE</v>
      </c>
    </row>
    <row r="275" spans="1:9" x14ac:dyDescent="0.3">
      <c r="F275" s="1" t="s">
        <v>97</v>
      </c>
      <c r="G275" s="1"/>
      <c r="I275" s="1" t="str">
        <f>+IF(K272&lt;3,"CUMPLE","Verificar Ancho")</f>
        <v>CUMPLE</v>
      </c>
    </row>
    <row r="276" spans="1:9" x14ac:dyDescent="0.3">
      <c r="F276" s="1"/>
      <c r="G276" s="1"/>
      <c r="I276" s="1"/>
    </row>
    <row r="278" spans="1:9" ht="18" x14ac:dyDescent="0.35">
      <c r="A278" s="10" t="s">
        <v>89</v>
      </c>
    </row>
    <row r="279" spans="1:9" x14ac:dyDescent="0.3">
      <c r="B279" s="2" t="s">
        <v>20</v>
      </c>
      <c r="C279" s="2" t="s">
        <v>13</v>
      </c>
      <c r="D279" s="2" t="s">
        <v>17</v>
      </c>
      <c r="E279" s="2" t="s">
        <v>22</v>
      </c>
      <c r="F279" s="2" t="s">
        <v>18</v>
      </c>
      <c r="G279" s="2" t="s">
        <v>19</v>
      </c>
    </row>
    <row r="280" spans="1:9" x14ac:dyDescent="0.3">
      <c r="A280" s="2" t="s">
        <v>54</v>
      </c>
      <c r="B280" s="47"/>
      <c r="C280" s="48"/>
      <c r="D280" s="48"/>
      <c r="E280" s="49"/>
      <c r="F280" s="6">
        <f>+B264</f>
        <v>6.0745711111111114E-2</v>
      </c>
      <c r="G280" s="2"/>
    </row>
    <row r="281" spans="1:9" x14ac:dyDescent="0.3">
      <c r="A281" s="7" t="s">
        <v>25</v>
      </c>
      <c r="B281" s="2">
        <f>+$B$8/10000</f>
        <v>3.5923999999999998E-2</v>
      </c>
      <c r="C281" s="2">
        <v>0.97</v>
      </c>
      <c r="D281" s="2">
        <v>100</v>
      </c>
      <c r="E281" s="2">
        <v>6</v>
      </c>
      <c r="F281" s="6">
        <f t="shared" ref="F281" si="11">+B281*C281*D281/360</f>
        <v>9.679522222222221E-3</v>
      </c>
      <c r="G281" s="6">
        <f t="shared" ref="G281" si="12">+F281/E281</f>
        <v>1.6132537037037034E-3</v>
      </c>
    </row>
    <row r="282" spans="1:9" x14ac:dyDescent="0.3">
      <c r="A282" s="11"/>
      <c r="B282" s="11"/>
      <c r="C282" s="11"/>
      <c r="D282" s="11"/>
      <c r="E282" s="11"/>
      <c r="F282" s="12"/>
      <c r="G282" s="12"/>
    </row>
    <row r="283" spans="1:9" x14ac:dyDescent="0.3">
      <c r="F283" s="2" t="s">
        <v>43</v>
      </c>
      <c r="G283" s="6">
        <f>+F280+G281</f>
        <v>6.2358964814814816E-2</v>
      </c>
    </row>
    <row r="284" spans="1:9" x14ac:dyDescent="0.3">
      <c r="A284" s="1" t="s">
        <v>71</v>
      </c>
      <c r="B284" s="1"/>
      <c r="C284" s="1"/>
    </row>
    <row r="285" spans="1:9" x14ac:dyDescent="0.3">
      <c r="A285" s="5" t="s">
        <v>66</v>
      </c>
      <c r="B285" s="14">
        <f>+G283</f>
        <v>6.2358964814814816E-2</v>
      </c>
      <c r="C285" t="s">
        <v>15</v>
      </c>
    </row>
    <row r="286" spans="1:9" x14ac:dyDescent="0.3">
      <c r="A286" s="5" t="s">
        <v>56</v>
      </c>
      <c r="B286" s="7">
        <v>0.01</v>
      </c>
      <c r="D286" s="1"/>
      <c r="E286" s="1"/>
    </row>
    <row r="287" spans="1:9" ht="18" x14ac:dyDescent="0.35">
      <c r="A287" s="21" t="s">
        <v>93</v>
      </c>
      <c r="B287" s="15">
        <f>180*PI()/180</f>
        <v>3.1415926535897931</v>
      </c>
      <c r="C287" t="s">
        <v>58</v>
      </c>
    </row>
    <row r="288" spans="1:9" x14ac:dyDescent="0.3">
      <c r="A288" s="5" t="s">
        <v>38</v>
      </c>
      <c r="B288" s="7">
        <v>0.01</v>
      </c>
      <c r="C288" t="s">
        <v>50</v>
      </c>
    </row>
    <row r="289" spans="1:7" x14ac:dyDescent="0.3">
      <c r="A289" s="23" t="s">
        <v>57</v>
      </c>
      <c r="B289" s="22">
        <v>12</v>
      </c>
      <c r="C289" t="s">
        <v>65</v>
      </c>
      <c r="G289" s="13"/>
    </row>
    <row r="291" spans="1:7" x14ac:dyDescent="0.3">
      <c r="A291" s="8" t="s">
        <v>57</v>
      </c>
      <c r="B291" s="2" t="s">
        <v>38</v>
      </c>
      <c r="C291" s="5" t="s">
        <v>39</v>
      </c>
      <c r="D291" s="5" t="s">
        <v>40</v>
      </c>
      <c r="E291" s="5" t="s">
        <v>41</v>
      </c>
      <c r="F291" s="5" t="s">
        <v>99</v>
      </c>
      <c r="G291" s="17" t="s">
        <v>96</v>
      </c>
    </row>
    <row r="292" spans="1:7" x14ac:dyDescent="0.3">
      <c r="A292" s="9">
        <f>+B289*0.0254</f>
        <v>0.30479999999999996</v>
      </c>
      <c r="B292" s="2">
        <f>+B288</f>
        <v>0.01</v>
      </c>
      <c r="C292" s="4">
        <f>+((B287-SIN(B287))*(A292)^2)/8</f>
        <v>3.648293849501983E-2</v>
      </c>
      <c r="D292" s="2">
        <f>+B287*A292/2</f>
        <v>0.47877872040708441</v>
      </c>
      <c r="E292" s="2">
        <f>(1-SIN(B287)/B287)*(A292)/4</f>
        <v>7.619999999999999E-2</v>
      </c>
      <c r="F292" s="2">
        <f>C292*(E292^(2/3))*(B292^(1/2))/B286</f>
        <v>6.5573212178423684E-2</v>
      </c>
      <c r="G292" s="32">
        <f>+B285/C292</f>
        <v>1.7092637651248197</v>
      </c>
    </row>
    <row r="294" spans="1:7" x14ac:dyDescent="0.3">
      <c r="C294" s="1" t="s">
        <v>100</v>
      </c>
      <c r="D294" s="1"/>
      <c r="F294" s="1" t="str">
        <f>+IF(B285&lt;F292,"CUMPLE","NO CUMPLE")</f>
        <v>CUMPLE</v>
      </c>
      <c r="G294" s="1"/>
    </row>
    <row r="295" spans="1:7" x14ac:dyDescent="0.3">
      <c r="C295" s="1" t="s">
        <v>98</v>
      </c>
      <c r="D295" s="1"/>
      <c r="F295" s="1" t="str">
        <f>+IF(G292&lt;5,"CUMPLE","Verificar Diametro")</f>
        <v>CUMPLE</v>
      </c>
    </row>
    <row r="296" spans="1:7" x14ac:dyDescent="0.3">
      <c r="C296" s="1" t="s">
        <v>69</v>
      </c>
      <c r="D296" s="1"/>
    </row>
    <row r="297" spans="1:7" x14ac:dyDescent="0.3">
      <c r="D297" s="27" t="s">
        <v>59</v>
      </c>
      <c r="E297" s="27">
        <f>IF(B285&lt;F292,A292/0.0254,"Modificar Diametro")</f>
        <v>11.999999999999998</v>
      </c>
      <c r="F297" s="27" t="s">
        <v>65</v>
      </c>
    </row>
    <row r="300" spans="1:7" ht="18" x14ac:dyDescent="0.35">
      <c r="A300" s="37" t="s">
        <v>118</v>
      </c>
    </row>
    <row r="301" spans="1:7" x14ac:dyDescent="0.3">
      <c r="B301" s="2" t="s">
        <v>20</v>
      </c>
      <c r="C301" s="2" t="s">
        <v>13</v>
      </c>
      <c r="D301" s="2" t="s">
        <v>17</v>
      </c>
      <c r="E301" s="2" t="s">
        <v>22</v>
      </c>
      <c r="F301" s="2" t="s">
        <v>18</v>
      </c>
      <c r="G301" s="2" t="s">
        <v>19</v>
      </c>
    </row>
    <row r="302" spans="1:7" x14ac:dyDescent="0.3">
      <c r="A302" s="2" t="s">
        <v>54</v>
      </c>
      <c r="B302" s="47"/>
      <c r="C302" s="48"/>
      <c r="D302" s="48"/>
      <c r="E302" s="49"/>
      <c r="F302" s="6">
        <f>+B285</f>
        <v>6.2358964814814816E-2</v>
      </c>
      <c r="G302" s="2"/>
    </row>
    <row r="303" spans="1:7" x14ac:dyDescent="0.3">
      <c r="A303" s="2" t="s">
        <v>88</v>
      </c>
      <c r="B303" s="2">
        <f>102/10000</f>
        <v>1.0200000000000001E-2</v>
      </c>
      <c r="C303" s="2">
        <v>0.97</v>
      </c>
      <c r="D303" s="2">
        <v>100</v>
      </c>
      <c r="E303" s="2"/>
      <c r="F303" s="6">
        <f t="shared" ref="F303:F304" si="13">+B303*C303*D303/360</f>
        <v>2.7483333333333335E-3</v>
      </c>
      <c r="G303" s="2"/>
    </row>
    <row r="304" spans="1:7" x14ac:dyDescent="0.3">
      <c r="A304" s="7" t="s">
        <v>25</v>
      </c>
      <c r="B304" s="2">
        <f>+$B$8/10000</f>
        <v>3.5923999999999998E-2</v>
      </c>
      <c r="C304" s="2">
        <v>0.97</v>
      </c>
      <c r="D304" s="2">
        <v>100</v>
      </c>
      <c r="E304" s="2">
        <v>6</v>
      </c>
      <c r="F304" s="6">
        <f t="shared" si="13"/>
        <v>9.679522222222221E-3</v>
      </c>
      <c r="G304" s="6">
        <f t="shared" ref="G304" si="14">+F304/E304</f>
        <v>1.6132537037037034E-3</v>
      </c>
    </row>
    <row r="305" spans="1:11" x14ac:dyDescent="0.3">
      <c r="A305" s="11"/>
      <c r="B305" s="11"/>
      <c r="C305" s="11"/>
      <c r="D305" s="11"/>
      <c r="E305" s="11"/>
      <c r="F305" s="12"/>
      <c r="G305" s="12"/>
    </row>
    <row r="306" spans="1:11" x14ac:dyDescent="0.3">
      <c r="F306" s="2" t="s">
        <v>43</v>
      </c>
      <c r="G306" s="6">
        <f>+F302+F303+G304</f>
        <v>6.6720551851851856E-2</v>
      </c>
    </row>
    <row r="308" spans="1:11" x14ac:dyDescent="0.3">
      <c r="A308" s="1" t="s">
        <v>33</v>
      </c>
      <c r="B308" s="1"/>
      <c r="C308" s="1"/>
    </row>
    <row r="309" spans="1:11" x14ac:dyDescent="0.3">
      <c r="A309" s="5" t="s">
        <v>34</v>
      </c>
      <c r="B309" s="14">
        <f>+G306</f>
        <v>6.6720551851851856E-2</v>
      </c>
      <c r="C309" t="s">
        <v>15</v>
      </c>
    </row>
    <row r="310" spans="1:11" x14ac:dyDescent="0.3">
      <c r="A310" s="5" t="s">
        <v>44</v>
      </c>
      <c r="B310" s="7">
        <v>1.2999999999999999E-2</v>
      </c>
    </row>
    <row r="311" spans="1:11" x14ac:dyDescent="0.3">
      <c r="A311" s="5" t="s">
        <v>35</v>
      </c>
      <c r="B311" s="7">
        <v>0</v>
      </c>
    </row>
    <row r="312" spans="1:11" x14ac:dyDescent="0.3">
      <c r="A312" s="5" t="s">
        <v>36</v>
      </c>
      <c r="B312" s="7">
        <v>0.3</v>
      </c>
      <c r="C312" t="s">
        <v>49</v>
      </c>
    </row>
    <row r="313" spans="1:11" x14ac:dyDescent="0.3">
      <c r="A313" s="5" t="s">
        <v>38</v>
      </c>
      <c r="B313" s="7">
        <v>0.01</v>
      </c>
      <c r="C313" t="s">
        <v>50</v>
      </c>
      <c r="H313" s="13"/>
    </row>
    <row r="314" spans="1:11" x14ac:dyDescent="0.3">
      <c r="A314" s="5" t="s">
        <v>48</v>
      </c>
      <c r="B314" s="7">
        <v>0.92</v>
      </c>
      <c r="C314" t="s">
        <v>49</v>
      </c>
      <c r="G314" s="13"/>
    </row>
    <row r="316" spans="1:11" x14ac:dyDescent="0.3">
      <c r="A316" s="8" t="s">
        <v>37</v>
      </c>
      <c r="B316" s="2" t="s">
        <v>38</v>
      </c>
      <c r="C316" s="5" t="s">
        <v>39</v>
      </c>
      <c r="D316" s="5" t="s">
        <v>40</v>
      </c>
      <c r="E316" s="5" t="s">
        <v>41</v>
      </c>
      <c r="F316" s="5" t="s">
        <v>34</v>
      </c>
      <c r="G316" s="17" t="s">
        <v>45</v>
      </c>
      <c r="H316" s="8" t="s">
        <v>60</v>
      </c>
      <c r="I316" s="17" t="s">
        <v>46</v>
      </c>
      <c r="J316" s="8" t="s">
        <v>101</v>
      </c>
      <c r="K316" s="8" t="s">
        <v>96</v>
      </c>
    </row>
    <row r="317" spans="1:11" x14ac:dyDescent="0.3">
      <c r="A317" s="9">
        <v>0.16069246281476671</v>
      </c>
      <c r="B317" s="4">
        <f>+B313</f>
        <v>0.01</v>
      </c>
      <c r="C317" s="2">
        <f>+A317*B312</f>
        <v>4.8207738844430012E-2</v>
      </c>
      <c r="D317" s="2">
        <f>+B312+2*A317</f>
        <v>0.6213849256295334</v>
      </c>
      <c r="E317" s="2">
        <f>C317/D317</f>
        <v>7.7581120584137284E-2</v>
      </c>
      <c r="F317" s="2">
        <f>C317*(E317^(2/3))*(B317^(1/2))/B310</f>
        <v>6.745447629398571E-2</v>
      </c>
      <c r="G317" s="31">
        <f>ROUND(A317,2)</f>
        <v>0.16</v>
      </c>
      <c r="H317" s="20">
        <f>+ROUND(G317,4)*100</f>
        <v>16</v>
      </c>
      <c r="I317" s="2">
        <f>4/5*B314</f>
        <v>0.7360000000000001</v>
      </c>
      <c r="J317" s="9">
        <f>+(B314-G317)*100</f>
        <v>76</v>
      </c>
      <c r="K317" s="20">
        <f>+B309/C317</f>
        <v>1.384021600083009</v>
      </c>
    </row>
    <row r="319" spans="1:11" x14ac:dyDescent="0.3">
      <c r="F319" s="1" t="s">
        <v>47</v>
      </c>
      <c r="G319" s="1"/>
      <c r="H319" s="1"/>
      <c r="I319" s="1" t="str">
        <f>IF(G317&lt;I317,"CUMPLE","NO CUMPLE")</f>
        <v>CUMPLE</v>
      </c>
    </row>
    <row r="320" spans="1:11" x14ac:dyDescent="0.3">
      <c r="F320" s="1" t="s">
        <v>97</v>
      </c>
      <c r="G320" s="1"/>
      <c r="I320" s="1" t="str">
        <f>+IF(K317&lt;3,"CUMPLE","Verificar Ancho")</f>
        <v>CUMPLE</v>
      </c>
    </row>
    <row r="321" spans="1:9" x14ac:dyDescent="0.3">
      <c r="F321" s="1"/>
      <c r="G321" s="1"/>
      <c r="I321" s="1"/>
    </row>
    <row r="323" spans="1:9" ht="18" x14ac:dyDescent="0.35">
      <c r="A323" s="26" t="s">
        <v>148</v>
      </c>
    </row>
    <row r="324" spans="1:9" x14ac:dyDescent="0.3">
      <c r="B324" s="2" t="s">
        <v>20</v>
      </c>
      <c r="C324" s="2" t="s">
        <v>13</v>
      </c>
      <c r="D324" s="2" t="s">
        <v>17</v>
      </c>
      <c r="E324" s="2" t="s">
        <v>22</v>
      </c>
      <c r="F324" s="2" t="s">
        <v>18</v>
      </c>
      <c r="G324" s="2" t="s">
        <v>19</v>
      </c>
    </row>
    <row r="325" spans="1:9" x14ac:dyDescent="0.3">
      <c r="A325" s="2" t="s">
        <v>86</v>
      </c>
      <c r="B325" s="2">
        <f>(116/2)/10000</f>
        <v>5.7999999999999996E-3</v>
      </c>
      <c r="C325" s="2">
        <v>0.97</v>
      </c>
      <c r="D325" s="2">
        <v>100</v>
      </c>
      <c r="E325" s="2"/>
      <c r="F325" s="6">
        <f t="shared" ref="F325:F326" si="15">+B325*C325*D325/360</f>
        <v>1.5627777777777775E-3</v>
      </c>
      <c r="G325" s="2"/>
    </row>
    <row r="326" spans="1:9" x14ac:dyDescent="0.3">
      <c r="A326" s="2" t="s">
        <v>87</v>
      </c>
      <c r="B326" s="2">
        <f>(90*0.5)/10000</f>
        <v>4.4999999999999997E-3</v>
      </c>
      <c r="C326" s="2">
        <v>0.97</v>
      </c>
      <c r="D326" s="2">
        <v>100</v>
      </c>
      <c r="E326" s="2"/>
      <c r="F326" s="6">
        <f t="shared" si="15"/>
        <v>1.2125E-3</v>
      </c>
      <c r="G326" s="6"/>
    </row>
    <row r="327" spans="1:9" x14ac:dyDescent="0.3">
      <c r="A327" s="11"/>
      <c r="B327" s="24"/>
      <c r="C327" s="24"/>
      <c r="D327" s="24"/>
      <c r="E327" s="24"/>
      <c r="F327" s="12"/>
      <c r="G327" s="11"/>
    </row>
    <row r="328" spans="1:9" x14ac:dyDescent="0.3">
      <c r="A328" s="11"/>
      <c r="B328" s="11"/>
      <c r="C328" s="11"/>
      <c r="D328" s="11"/>
      <c r="E328" s="11"/>
      <c r="F328" s="12"/>
      <c r="G328" s="12"/>
    </row>
    <row r="329" spans="1:9" x14ac:dyDescent="0.3">
      <c r="F329" s="2" t="s">
        <v>43</v>
      </c>
      <c r="G329" s="6">
        <f>+F325+F326</f>
        <v>2.7752777777777776E-3</v>
      </c>
    </row>
    <row r="331" spans="1:9" x14ac:dyDescent="0.3">
      <c r="A331" s="1" t="s">
        <v>33</v>
      </c>
      <c r="B331" s="1"/>
      <c r="C331" s="1"/>
    </row>
    <row r="332" spans="1:9" x14ac:dyDescent="0.3">
      <c r="A332" s="5" t="s">
        <v>34</v>
      </c>
      <c r="B332" s="14">
        <f>+G329</f>
        <v>2.7752777777777776E-3</v>
      </c>
      <c r="C332" t="s">
        <v>15</v>
      </c>
    </row>
    <row r="333" spans="1:9" x14ac:dyDescent="0.3">
      <c r="A333" s="5" t="s">
        <v>44</v>
      </c>
      <c r="B333" s="7">
        <v>1.2999999999999999E-2</v>
      </c>
    </row>
    <row r="334" spans="1:9" x14ac:dyDescent="0.3">
      <c r="A334" s="5" t="s">
        <v>35</v>
      </c>
      <c r="B334" s="7">
        <v>0</v>
      </c>
    </row>
    <row r="335" spans="1:9" x14ac:dyDescent="0.3">
      <c r="A335" s="5" t="s">
        <v>36</v>
      </c>
      <c r="B335" s="7">
        <v>0.2</v>
      </c>
      <c r="C335" t="s">
        <v>49</v>
      </c>
    </row>
    <row r="336" spans="1:9" x14ac:dyDescent="0.3">
      <c r="A336" s="5" t="s">
        <v>38</v>
      </c>
      <c r="B336" s="7">
        <v>0.01</v>
      </c>
      <c r="C336" t="s">
        <v>50</v>
      </c>
      <c r="H336" s="13"/>
    </row>
    <row r="337" spans="1:11" x14ac:dyDescent="0.3">
      <c r="A337" s="5" t="s">
        <v>48</v>
      </c>
      <c r="B337" s="7">
        <v>0.5</v>
      </c>
      <c r="C337" t="s">
        <v>49</v>
      </c>
      <c r="G337" s="13"/>
    </row>
    <row r="339" spans="1:11" x14ac:dyDescent="0.3">
      <c r="A339" s="8" t="s">
        <v>37</v>
      </c>
      <c r="B339" s="2" t="s">
        <v>38</v>
      </c>
      <c r="C339" s="5" t="s">
        <v>39</v>
      </c>
      <c r="D339" s="5" t="s">
        <v>40</v>
      </c>
      <c r="E339" s="5" t="s">
        <v>41</v>
      </c>
      <c r="F339" s="5" t="s">
        <v>34</v>
      </c>
      <c r="G339" s="17" t="s">
        <v>45</v>
      </c>
      <c r="H339" s="8" t="s">
        <v>60</v>
      </c>
      <c r="I339" s="17" t="s">
        <v>46</v>
      </c>
      <c r="J339" s="8" t="s">
        <v>101</v>
      </c>
      <c r="K339" s="8" t="s">
        <v>96</v>
      </c>
    </row>
    <row r="340" spans="1:11" x14ac:dyDescent="0.3">
      <c r="A340" s="9">
        <v>2.421799179125423E-2</v>
      </c>
      <c r="B340" s="4">
        <f>+B336</f>
        <v>0.01</v>
      </c>
      <c r="C340" s="2">
        <f>+A340*B335</f>
        <v>4.8435983582508467E-3</v>
      </c>
      <c r="D340" s="2">
        <f>+B335+2*A340</f>
        <v>0.24843598358250846</v>
      </c>
      <c r="E340" s="2">
        <f>C340/D340</f>
        <v>1.9496363966302135E-2</v>
      </c>
      <c r="F340" s="2">
        <f>C340*(E340^(2/3))*(B340^(1/2))/B333</f>
        <v>2.6989438759387812E-3</v>
      </c>
      <c r="G340" s="31">
        <f>ROUND(A340,2)</f>
        <v>0.02</v>
      </c>
      <c r="H340" s="20">
        <f>+ROUND(G340,4)*100</f>
        <v>2</v>
      </c>
      <c r="I340" s="2">
        <f>4/5*B337</f>
        <v>0.4</v>
      </c>
      <c r="J340" s="9">
        <f>+(B337-G340)*100</f>
        <v>48</v>
      </c>
      <c r="K340" s="20">
        <f>+B332/C340</f>
        <v>0.5729785115337277</v>
      </c>
    </row>
    <row r="342" spans="1:11" x14ac:dyDescent="0.3">
      <c r="F342" s="1" t="s">
        <v>47</v>
      </c>
      <c r="G342" s="1"/>
      <c r="H342" s="1"/>
      <c r="I342" s="1" t="str">
        <f>IF(G340&lt;I340,"CUMPLE","NO CUMPLE")</f>
        <v>CUMPLE</v>
      </c>
    </row>
    <row r="343" spans="1:11" x14ac:dyDescent="0.3">
      <c r="F343" s="1" t="s">
        <v>97</v>
      </c>
      <c r="G343" s="1"/>
      <c r="I343" s="1" t="str">
        <f>+IF(K340&lt;3,"CUMPLE","Verificar Ancho")</f>
        <v>CUMPLE</v>
      </c>
    </row>
    <row r="344" spans="1:11" x14ac:dyDescent="0.3">
      <c r="F344" s="1"/>
      <c r="G344" s="1"/>
      <c r="I344" s="1"/>
    </row>
    <row r="346" spans="1:11" ht="18" x14ac:dyDescent="0.35">
      <c r="A346" s="26" t="s">
        <v>149</v>
      </c>
    </row>
    <row r="347" spans="1:11" x14ac:dyDescent="0.3">
      <c r="B347" s="2" t="s">
        <v>20</v>
      </c>
      <c r="C347" s="2" t="s">
        <v>13</v>
      </c>
      <c r="D347" s="2" t="s">
        <v>17</v>
      </c>
      <c r="E347" s="2" t="s">
        <v>22</v>
      </c>
      <c r="F347" s="2" t="s">
        <v>18</v>
      </c>
      <c r="G347" s="2" t="s">
        <v>19</v>
      </c>
    </row>
    <row r="348" spans="1:11" x14ac:dyDescent="0.3">
      <c r="A348" s="2" t="s">
        <v>54</v>
      </c>
      <c r="B348" s="47"/>
      <c r="C348" s="48"/>
      <c r="D348" s="48"/>
      <c r="E348" s="49"/>
      <c r="F348" s="6">
        <f>+B332</f>
        <v>2.7752777777777776E-3</v>
      </c>
      <c r="G348" s="2"/>
    </row>
    <row r="349" spans="1:11" x14ac:dyDescent="0.3">
      <c r="A349" s="11"/>
      <c r="B349" s="11"/>
      <c r="C349" s="11"/>
      <c r="D349" s="11"/>
      <c r="E349" s="11"/>
      <c r="F349" s="12"/>
      <c r="G349" s="12"/>
    </row>
    <row r="350" spans="1:11" x14ac:dyDescent="0.3">
      <c r="F350" s="2" t="s">
        <v>43</v>
      </c>
      <c r="G350" s="6">
        <f>+F348</f>
        <v>2.7752777777777776E-3</v>
      </c>
    </row>
    <row r="351" spans="1:11" x14ac:dyDescent="0.3">
      <c r="A351" s="1" t="s">
        <v>71</v>
      </c>
      <c r="B351" s="1"/>
      <c r="C351" s="1"/>
    </row>
    <row r="352" spans="1:11" x14ac:dyDescent="0.3">
      <c r="A352" s="5" t="s">
        <v>66</v>
      </c>
      <c r="B352" s="14">
        <f>+G350</f>
        <v>2.7752777777777776E-3</v>
      </c>
      <c r="C352" t="s">
        <v>15</v>
      </c>
    </row>
    <row r="353" spans="1:7" x14ac:dyDescent="0.3">
      <c r="A353" s="5" t="s">
        <v>56</v>
      </c>
      <c r="B353" s="7">
        <v>0.01</v>
      </c>
      <c r="D353" s="1"/>
      <c r="E353" s="1"/>
    </row>
    <row r="354" spans="1:7" ht="18" x14ac:dyDescent="0.35">
      <c r="A354" s="21" t="s">
        <v>68</v>
      </c>
      <c r="B354" s="15">
        <f>300*PI()/180</f>
        <v>5.2359877559829888</v>
      </c>
      <c r="C354" t="s">
        <v>58</v>
      </c>
    </row>
    <row r="355" spans="1:7" x14ac:dyDescent="0.3">
      <c r="A355" s="5" t="s">
        <v>38</v>
      </c>
      <c r="B355" s="7">
        <v>2.98E-2</v>
      </c>
      <c r="C355" t="s">
        <v>50</v>
      </c>
    </row>
    <row r="356" spans="1:7" x14ac:dyDescent="0.3">
      <c r="A356" s="23" t="s">
        <v>57</v>
      </c>
      <c r="B356" s="22">
        <v>4</v>
      </c>
      <c r="C356" t="s">
        <v>65</v>
      </c>
      <c r="G356" s="13"/>
    </row>
    <row r="358" spans="1:7" x14ac:dyDescent="0.3">
      <c r="A358" s="8" t="s">
        <v>57</v>
      </c>
      <c r="B358" s="2" t="s">
        <v>38</v>
      </c>
      <c r="C358" s="5" t="s">
        <v>39</v>
      </c>
      <c r="D358" s="5" t="s">
        <v>40</v>
      </c>
      <c r="E358" s="5" t="s">
        <v>41</v>
      </c>
      <c r="F358" s="8" t="s">
        <v>99</v>
      </c>
      <c r="G358" s="8" t="s">
        <v>96</v>
      </c>
    </row>
    <row r="359" spans="1:7" x14ac:dyDescent="0.3">
      <c r="A359" s="9">
        <f>+B356*0.0254</f>
        <v>0.1016</v>
      </c>
      <c r="B359" s="2">
        <f>+B355</f>
        <v>2.98E-2</v>
      </c>
      <c r="C359" s="4">
        <f>+((B354-SIN(B354))*(A359)^2)/8</f>
        <v>7.8735496203111068E-3</v>
      </c>
      <c r="D359" s="2">
        <f>+B354*A359/2</f>
        <v>0.26598817800393582</v>
      </c>
      <c r="E359" s="2">
        <f>(1-SIN(B354)/B354)*(A359)/4</f>
        <v>2.9601126183114054E-2</v>
      </c>
      <c r="F359" s="9">
        <f>C359*(E359^(2/3))*(B359^(1/2))/B353</f>
        <v>1.3006212848276084E-2</v>
      </c>
      <c r="G359" s="20">
        <f>+B352/C359</f>
        <v>0.35248114403426067</v>
      </c>
    </row>
    <row r="361" spans="1:7" x14ac:dyDescent="0.3">
      <c r="C361" s="1" t="s">
        <v>100</v>
      </c>
      <c r="D361" s="1"/>
      <c r="F361" s="1" t="str">
        <f>+IF(B352&lt;F359,"CUMPLE","NO CUMPLE")</f>
        <v>CUMPLE</v>
      </c>
      <c r="G361" s="1"/>
    </row>
    <row r="362" spans="1:7" x14ac:dyDescent="0.3">
      <c r="C362" s="1" t="s">
        <v>98</v>
      </c>
      <c r="D362" s="1"/>
      <c r="F362" s="1" t="str">
        <f>+IF(G359&lt;5,"CUMPLE","Verificar Diametro")</f>
        <v>CUMPLE</v>
      </c>
    </row>
    <row r="363" spans="1:7" x14ac:dyDescent="0.3">
      <c r="C363" s="1" t="s">
        <v>69</v>
      </c>
      <c r="D363" s="1"/>
    </row>
    <row r="364" spans="1:7" x14ac:dyDescent="0.3">
      <c r="D364" s="27" t="s">
        <v>59</v>
      </c>
      <c r="E364" s="27">
        <f>IF(B352&lt;F359,A359/0.0254,"Modificar Diametro")</f>
        <v>4</v>
      </c>
      <c r="F364" s="27" t="s">
        <v>65</v>
      </c>
    </row>
    <row r="367" spans="1:7" ht="18" x14ac:dyDescent="0.35">
      <c r="A367" s="37" t="s">
        <v>150</v>
      </c>
      <c r="B367" s="28"/>
      <c r="C367" s="28"/>
      <c r="D367" s="28"/>
    </row>
    <row r="368" spans="1:7" x14ac:dyDescent="0.3">
      <c r="B368" s="2" t="s">
        <v>20</v>
      </c>
      <c r="C368" s="2" t="s">
        <v>13</v>
      </c>
      <c r="D368" s="2" t="s">
        <v>17</v>
      </c>
      <c r="E368" s="2" t="s">
        <v>22</v>
      </c>
      <c r="F368" s="2" t="s">
        <v>18</v>
      </c>
      <c r="G368" s="2" t="s">
        <v>19</v>
      </c>
    </row>
    <row r="369" spans="1:7" x14ac:dyDescent="0.3">
      <c r="A369" s="2" t="s">
        <v>54</v>
      </c>
      <c r="B369" s="47"/>
      <c r="C369" s="48"/>
      <c r="D369" s="48"/>
      <c r="E369" s="49"/>
      <c r="F369" s="6">
        <f>+B352</f>
        <v>2.7752777777777776E-3</v>
      </c>
      <c r="G369" s="2"/>
    </row>
    <row r="370" spans="1:7" x14ac:dyDescent="0.3">
      <c r="A370" s="7" t="s">
        <v>12</v>
      </c>
      <c r="B370" s="2">
        <f>+$B$5/10000</f>
        <v>7.6269999999999992E-3</v>
      </c>
      <c r="C370" s="2">
        <v>0.97</v>
      </c>
      <c r="D370" s="2">
        <v>100</v>
      </c>
      <c r="E370" s="2"/>
      <c r="F370" s="6">
        <f>+B370*C370*D370/360</f>
        <v>2.0550527777777774E-3</v>
      </c>
      <c r="G370" s="6"/>
    </row>
    <row r="371" spans="1:7" x14ac:dyDescent="0.3">
      <c r="A371" s="7" t="s">
        <v>32</v>
      </c>
      <c r="B371" s="2">
        <f>+$B$15/10000</f>
        <v>1.4775E-2</v>
      </c>
      <c r="C371" s="2">
        <v>0.97</v>
      </c>
      <c r="D371" s="2">
        <v>100</v>
      </c>
      <c r="E371" s="2"/>
      <c r="F371" s="6">
        <f t="shared" ref="F371:F372" si="16">+B371*C371*D371/360</f>
        <v>3.9810416666666666E-3</v>
      </c>
      <c r="G371" s="6"/>
    </row>
    <row r="372" spans="1:7" x14ac:dyDescent="0.3">
      <c r="A372" s="2" t="s">
        <v>130</v>
      </c>
      <c r="B372" s="2">
        <f>26/10000</f>
        <v>2.5999999999999999E-3</v>
      </c>
      <c r="C372" s="2">
        <v>0.97</v>
      </c>
      <c r="D372" s="2">
        <v>100</v>
      </c>
      <c r="E372" s="2"/>
      <c r="F372" s="6">
        <f t="shared" si="16"/>
        <v>7.005555555555555E-4</v>
      </c>
      <c r="G372" s="6"/>
    </row>
    <row r="373" spans="1:7" x14ac:dyDescent="0.3">
      <c r="A373" s="11"/>
      <c r="B373" s="11"/>
      <c r="C373" s="11"/>
      <c r="D373" s="11"/>
      <c r="E373" s="11"/>
      <c r="F373" s="12"/>
      <c r="G373" s="12"/>
    </row>
    <row r="374" spans="1:7" x14ac:dyDescent="0.3">
      <c r="F374" s="2" t="s">
        <v>43</v>
      </c>
      <c r="G374" s="6">
        <f>+F369+F370+F371+F372</f>
        <v>9.5119277777777761E-3</v>
      </c>
    </row>
    <row r="375" spans="1:7" x14ac:dyDescent="0.3">
      <c r="F375" s="11"/>
      <c r="G375" s="12"/>
    </row>
    <row r="376" spans="1:7" x14ac:dyDescent="0.3">
      <c r="A376" s="5" t="s">
        <v>66</v>
      </c>
      <c r="B376" s="14">
        <f>+G374</f>
        <v>9.5119277777777761E-3</v>
      </c>
      <c r="C376" t="s">
        <v>15</v>
      </c>
    </row>
    <row r="377" spans="1:7" x14ac:dyDescent="0.3">
      <c r="A377" s="5" t="s">
        <v>56</v>
      </c>
      <c r="B377" s="7">
        <v>0.01</v>
      </c>
      <c r="D377" s="1"/>
      <c r="E377" s="1"/>
    </row>
    <row r="378" spans="1:7" ht="18" x14ac:dyDescent="0.35">
      <c r="A378" s="21" t="s">
        <v>68</v>
      </c>
      <c r="B378" s="15">
        <f>300*PI()/180</f>
        <v>5.2359877559829888</v>
      </c>
      <c r="C378" t="s">
        <v>58</v>
      </c>
    </row>
    <row r="379" spans="1:7" x14ac:dyDescent="0.3">
      <c r="A379" s="5" t="s">
        <v>38</v>
      </c>
      <c r="B379" s="7">
        <v>2.3199999999999998E-2</v>
      </c>
      <c r="C379" t="s">
        <v>50</v>
      </c>
    </row>
    <row r="380" spans="1:7" x14ac:dyDescent="0.3">
      <c r="A380" s="23" t="s">
        <v>57</v>
      </c>
      <c r="B380" s="22">
        <v>4</v>
      </c>
      <c r="C380" t="s">
        <v>65</v>
      </c>
      <c r="G380" s="13"/>
    </row>
    <row r="382" spans="1:7" x14ac:dyDescent="0.3">
      <c r="A382" s="8" t="s">
        <v>57</v>
      </c>
      <c r="B382" s="2" t="s">
        <v>38</v>
      </c>
      <c r="C382" s="5" t="s">
        <v>39</v>
      </c>
      <c r="D382" s="5" t="s">
        <v>40</v>
      </c>
      <c r="E382" s="5" t="s">
        <v>41</v>
      </c>
      <c r="F382" s="8" t="s">
        <v>99</v>
      </c>
      <c r="G382" s="8" t="s">
        <v>96</v>
      </c>
    </row>
    <row r="383" spans="1:7" x14ac:dyDescent="0.3">
      <c r="A383" s="9">
        <f>+B380*0.0254</f>
        <v>0.1016</v>
      </c>
      <c r="B383" s="2">
        <f>+B379</f>
        <v>2.3199999999999998E-2</v>
      </c>
      <c r="C383" s="4">
        <f>+((B378-SIN(B378))*(A383)^2)/8</f>
        <v>7.8735496203111068E-3</v>
      </c>
      <c r="D383" s="2">
        <f>+B378*A383/2</f>
        <v>0.26598817800393582</v>
      </c>
      <c r="E383" s="2">
        <f>(1-SIN(B378)/B378)*(A383)/4</f>
        <v>2.9601126183114054E-2</v>
      </c>
      <c r="F383" s="9">
        <f>C383*(E383^(2/3))*(B383^(1/2))/B377</f>
        <v>1.1475899002067021E-2</v>
      </c>
      <c r="G383" s="20">
        <f>+B376/C383</f>
        <v>1.20808634433956</v>
      </c>
    </row>
    <row r="385" spans="1:7" x14ac:dyDescent="0.3">
      <c r="C385" s="1" t="s">
        <v>100</v>
      </c>
      <c r="D385" s="1"/>
      <c r="F385" s="1" t="str">
        <f>+IF(B376&lt;F383,"CUMPLE","NO CUMPLE")</f>
        <v>CUMPLE</v>
      </c>
      <c r="G385" s="1"/>
    </row>
    <row r="386" spans="1:7" x14ac:dyDescent="0.3">
      <c r="C386" s="1" t="s">
        <v>98</v>
      </c>
      <c r="D386" s="1"/>
      <c r="F386" s="1" t="str">
        <f>+IF(G383&lt;5,"CUMPLE","Verificar Diametro")</f>
        <v>CUMPLE</v>
      </c>
    </row>
    <row r="387" spans="1:7" x14ac:dyDescent="0.3">
      <c r="C387" s="1" t="s">
        <v>69</v>
      </c>
      <c r="D387" s="1"/>
    </row>
    <row r="388" spans="1:7" x14ac:dyDescent="0.3">
      <c r="D388" s="27" t="s">
        <v>59</v>
      </c>
      <c r="E388" s="27">
        <f>IF(B376&lt;F383,A383/0.0254,"Modificar Diametro")</f>
        <v>4</v>
      </c>
      <c r="F388" s="27" t="s">
        <v>65</v>
      </c>
    </row>
    <row r="391" spans="1:7" ht="18" x14ac:dyDescent="0.35">
      <c r="A391" s="37" t="s">
        <v>115</v>
      </c>
      <c r="B391" s="28"/>
      <c r="C391" s="28"/>
      <c r="D391" s="28"/>
    </row>
    <row r="392" spans="1:7" x14ac:dyDescent="0.3">
      <c r="B392" s="2" t="s">
        <v>20</v>
      </c>
      <c r="C392" s="2" t="s">
        <v>13</v>
      </c>
      <c r="D392" s="2" t="s">
        <v>17</v>
      </c>
      <c r="E392" s="2" t="s">
        <v>22</v>
      </c>
      <c r="F392" s="2" t="s">
        <v>18</v>
      </c>
      <c r="G392" s="2" t="s">
        <v>19</v>
      </c>
    </row>
    <row r="393" spans="1:7" x14ac:dyDescent="0.3">
      <c r="A393" s="2" t="s">
        <v>54</v>
      </c>
      <c r="B393" s="47"/>
      <c r="C393" s="48"/>
      <c r="D393" s="48"/>
      <c r="E393" s="49"/>
      <c r="F393" s="6">
        <f>+B309+B376</f>
        <v>7.6232479629629632E-2</v>
      </c>
      <c r="G393" s="2"/>
    </row>
    <row r="394" spans="1:7" x14ac:dyDescent="0.3">
      <c r="A394" s="2" t="s">
        <v>132</v>
      </c>
      <c r="B394" s="2">
        <f>(66+22)/10000</f>
        <v>8.8000000000000005E-3</v>
      </c>
      <c r="C394" s="2">
        <v>0.97</v>
      </c>
      <c r="D394" s="2">
        <v>100</v>
      </c>
      <c r="E394" s="2"/>
      <c r="F394" s="6">
        <f t="shared" ref="F394" si="17">+B394*C394*D394/360</f>
        <v>2.3711111111111112E-3</v>
      </c>
      <c r="G394" s="6"/>
    </row>
    <row r="395" spans="1:7" x14ac:dyDescent="0.3">
      <c r="A395" s="11"/>
      <c r="B395" s="11"/>
      <c r="C395" s="11"/>
      <c r="D395" s="11"/>
      <c r="E395" s="11"/>
      <c r="F395" s="12"/>
      <c r="G395" s="12"/>
    </row>
    <row r="396" spans="1:7" x14ac:dyDescent="0.3">
      <c r="F396" s="2" t="s">
        <v>43</v>
      </c>
      <c r="G396" s="6">
        <f>+F393+F394</f>
        <v>7.8603590740740747E-2</v>
      </c>
    </row>
    <row r="397" spans="1:7" x14ac:dyDescent="0.3">
      <c r="A397" s="1" t="s">
        <v>71</v>
      </c>
      <c r="B397" s="1"/>
      <c r="C397" s="1"/>
    </row>
    <row r="398" spans="1:7" x14ac:dyDescent="0.3">
      <c r="A398" s="5" t="s">
        <v>66</v>
      </c>
      <c r="B398" s="14">
        <f>+G396</f>
        <v>7.8603590740740747E-2</v>
      </c>
      <c r="C398" t="s">
        <v>15</v>
      </c>
    </row>
    <row r="399" spans="1:7" x14ac:dyDescent="0.3">
      <c r="A399" s="5" t="s">
        <v>56</v>
      </c>
      <c r="B399" s="7">
        <v>0.01</v>
      </c>
      <c r="D399" s="1"/>
      <c r="E399" s="1"/>
    </row>
    <row r="400" spans="1:7" ht="18" x14ac:dyDescent="0.35">
      <c r="A400" s="21" t="s">
        <v>68</v>
      </c>
      <c r="B400" s="15">
        <f>180*PI()/180</f>
        <v>3.1415926535897931</v>
      </c>
      <c r="C400" t="s">
        <v>58</v>
      </c>
    </row>
    <row r="401" spans="1:7" x14ac:dyDescent="0.3">
      <c r="A401" s="5" t="s">
        <v>38</v>
      </c>
      <c r="B401" s="7">
        <v>0.01</v>
      </c>
      <c r="C401" t="s">
        <v>50</v>
      </c>
    </row>
    <row r="402" spans="1:7" x14ac:dyDescent="0.3">
      <c r="A402" s="23" t="s">
        <v>57</v>
      </c>
      <c r="B402" s="22">
        <v>14</v>
      </c>
      <c r="C402" t="s">
        <v>65</v>
      </c>
      <c r="G402" s="13"/>
    </row>
    <row r="404" spans="1:7" x14ac:dyDescent="0.3">
      <c r="A404" s="8" t="s">
        <v>57</v>
      </c>
      <c r="B404" s="2" t="s">
        <v>38</v>
      </c>
      <c r="C404" s="5" t="s">
        <v>39</v>
      </c>
      <c r="D404" s="5" t="s">
        <v>40</v>
      </c>
      <c r="E404" s="5" t="s">
        <v>41</v>
      </c>
      <c r="F404" s="8" t="s">
        <v>99</v>
      </c>
      <c r="G404" s="8" t="s">
        <v>96</v>
      </c>
    </row>
    <row r="405" spans="1:7" x14ac:dyDescent="0.3">
      <c r="A405" s="9">
        <f>+B402*0.0254</f>
        <v>0.35559999999999997</v>
      </c>
      <c r="B405" s="2">
        <f>+B401</f>
        <v>0.01</v>
      </c>
      <c r="C405" s="4">
        <f>+((B400-SIN(B400))*(A405)^2)/8</f>
        <v>4.9657332951554771E-2</v>
      </c>
      <c r="D405" s="2">
        <f>+B400*A405/2</f>
        <v>0.55857517380826516</v>
      </c>
      <c r="E405" s="2">
        <f>(1-SIN(B400)/B400)*(A405)/4</f>
        <v>8.8899999999999993E-2</v>
      </c>
      <c r="F405" s="9">
        <f>C405*(E405^(2/3))*(B405^(1/2))/B399</f>
        <v>9.8912511891011676E-2</v>
      </c>
      <c r="G405" s="20">
        <f>+B398/C405</f>
        <v>1.5829201060279592</v>
      </c>
    </row>
    <row r="407" spans="1:7" x14ac:dyDescent="0.3">
      <c r="C407" s="1" t="s">
        <v>100</v>
      </c>
      <c r="D407" s="1"/>
      <c r="F407" s="1" t="str">
        <f>+IF(B398&lt;F405,"CUMPLE","NO CUMPLE")</f>
        <v>CUMPLE</v>
      </c>
      <c r="G407" s="1"/>
    </row>
    <row r="408" spans="1:7" x14ac:dyDescent="0.3">
      <c r="C408" s="1" t="s">
        <v>98</v>
      </c>
      <c r="D408" s="1"/>
      <c r="F408" s="1" t="str">
        <f>+IF(G405&lt;5,"CUMPLE","Verificar Diametro")</f>
        <v>CUMPLE</v>
      </c>
    </row>
    <row r="409" spans="1:7" x14ac:dyDescent="0.3">
      <c r="C409" s="1" t="s">
        <v>69</v>
      </c>
      <c r="D409" s="1"/>
    </row>
    <row r="410" spans="1:7" x14ac:dyDescent="0.3">
      <c r="D410" s="27" t="s">
        <v>59</v>
      </c>
      <c r="E410" s="27">
        <f>IF(B398&lt;F405,A405/0.0254,"Modificar Diametro")</f>
        <v>14</v>
      </c>
      <c r="F410" s="27" t="s">
        <v>65</v>
      </c>
    </row>
    <row r="413" spans="1:7" ht="18" x14ac:dyDescent="0.35">
      <c r="A413" s="26" t="s">
        <v>151</v>
      </c>
      <c r="B413" s="28"/>
      <c r="C413" s="28"/>
      <c r="D413" s="28"/>
    </row>
    <row r="414" spans="1:7" x14ac:dyDescent="0.3">
      <c r="B414" s="2" t="s">
        <v>20</v>
      </c>
      <c r="C414" s="2" t="s">
        <v>13</v>
      </c>
      <c r="D414" s="2" t="s">
        <v>17</v>
      </c>
      <c r="E414" s="2" t="s">
        <v>22</v>
      </c>
      <c r="F414" s="2" t="s">
        <v>18</v>
      </c>
      <c r="G414" s="2" t="s">
        <v>19</v>
      </c>
    </row>
    <row r="415" spans="1:7" x14ac:dyDescent="0.3">
      <c r="A415" s="2" t="s">
        <v>131</v>
      </c>
      <c r="B415" s="2">
        <f>20/10000</f>
        <v>2E-3</v>
      </c>
      <c r="C415" s="2">
        <v>0.97</v>
      </c>
      <c r="D415" s="2">
        <v>100</v>
      </c>
      <c r="E415" s="2"/>
      <c r="F415" s="6">
        <f t="shared" ref="F415:F416" si="18">+B415*C415*D415/360</f>
        <v>5.3888888888888888E-4</v>
      </c>
      <c r="G415" s="6"/>
    </row>
    <row r="416" spans="1:7" x14ac:dyDescent="0.3">
      <c r="A416" s="7" t="s">
        <v>23</v>
      </c>
      <c r="B416" s="2">
        <f>+$B$7/10000</f>
        <v>4.7840000000000001E-3</v>
      </c>
      <c r="C416" s="2">
        <v>0.97</v>
      </c>
      <c r="D416" s="2">
        <v>100</v>
      </c>
      <c r="E416" s="2">
        <v>7</v>
      </c>
      <c r="F416" s="6">
        <f t="shared" si="18"/>
        <v>1.2890222222222221E-3</v>
      </c>
      <c r="G416" s="6">
        <f>+F416/E416</f>
        <v>1.8414603174603172E-4</v>
      </c>
    </row>
    <row r="417" spans="1:8" x14ac:dyDescent="0.3">
      <c r="A417" s="11"/>
      <c r="B417" s="11"/>
      <c r="C417" s="11"/>
      <c r="D417" s="11"/>
      <c r="E417" s="11"/>
      <c r="F417" s="12"/>
      <c r="G417" s="12"/>
    </row>
    <row r="418" spans="1:8" s="34" customFormat="1" x14ac:dyDescent="0.3">
      <c r="F418" s="4" t="s">
        <v>43</v>
      </c>
      <c r="G418" s="43">
        <f>+F415+G416*2</f>
        <v>9.0718095238095237E-4</v>
      </c>
    </row>
    <row r="419" spans="1:8" x14ac:dyDescent="0.3">
      <c r="A419" s="1" t="s">
        <v>71</v>
      </c>
      <c r="B419" s="1"/>
      <c r="C419" s="1"/>
    </row>
    <row r="420" spans="1:8" x14ac:dyDescent="0.3">
      <c r="A420" s="5" t="s">
        <v>66</v>
      </c>
      <c r="B420" s="14">
        <f>+G418</f>
        <v>9.0718095238095237E-4</v>
      </c>
      <c r="C420" t="s">
        <v>15</v>
      </c>
    </row>
    <row r="421" spans="1:8" x14ac:dyDescent="0.3">
      <c r="A421" s="5" t="s">
        <v>56</v>
      </c>
      <c r="B421" s="7">
        <v>0.01</v>
      </c>
      <c r="D421" s="1"/>
      <c r="E421" s="1"/>
    </row>
    <row r="422" spans="1:8" ht="18" x14ac:dyDescent="0.35">
      <c r="A422" s="21" t="s">
        <v>68</v>
      </c>
      <c r="B422" s="15">
        <f>300*PI()/180</f>
        <v>5.2359877559829888</v>
      </c>
      <c r="C422" t="s">
        <v>58</v>
      </c>
    </row>
    <row r="423" spans="1:8" x14ac:dyDescent="0.3">
      <c r="A423" s="5" t="s">
        <v>38</v>
      </c>
      <c r="B423" s="7">
        <v>5.0000000000000001E-3</v>
      </c>
      <c r="C423" t="s">
        <v>50</v>
      </c>
    </row>
    <row r="424" spans="1:8" x14ac:dyDescent="0.3">
      <c r="A424" s="23" t="s">
        <v>57</v>
      </c>
      <c r="B424" s="22">
        <v>4</v>
      </c>
      <c r="C424" t="s">
        <v>65</v>
      </c>
      <c r="G424" s="13"/>
    </row>
    <row r="426" spans="1:8" x14ac:dyDescent="0.3">
      <c r="A426" s="8" t="s">
        <v>57</v>
      </c>
      <c r="B426" s="2" t="s">
        <v>38</v>
      </c>
      <c r="C426" s="5" t="s">
        <v>39</v>
      </c>
      <c r="D426" s="5" t="s">
        <v>40</v>
      </c>
      <c r="E426" s="5" t="s">
        <v>41</v>
      </c>
      <c r="F426" s="8" t="s">
        <v>99</v>
      </c>
      <c r="G426" s="8" t="s">
        <v>96</v>
      </c>
    </row>
    <row r="427" spans="1:8" x14ac:dyDescent="0.3">
      <c r="A427" s="9">
        <f>+B424*0.0254</f>
        <v>0.1016</v>
      </c>
      <c r="B427" s="2">
        <f>+B423</f>
        <v>5.0000000000000001E-3</v>
      </c>
      <c r="C427" s="4">
        <f>+((B422-SIN(B422))*(A427)^2)/8</f>
        <v>7.8735496203111068E-3</v>
      </c>
      <c r="D427" s="2">
        <f>+B422*A427/2</f>
        <v>0.26598817800393582</v>
      </c>
      <c r="E427" s="2">
        <f>(1-SIN(B422)/B422)*(A427)/4</f>
        <v>2.9601126183114054E-2</v>
      </c>
      <c r="F427" s="9">
        <f>C427*(E427^(2/3))*(B427^(1/2))/B421</f>
        <v>5.327552365186318E-3</v>
      </c>
      <c r="G427" s="20">
        <f>+B420/C427</f>
        <v>0.11521880170040855</v>
      </c>
    </row>
    <row r="429" spans="1:8" x14ac:dyDescent="0.3">
      <c r="C429" s="1" t="s">
        <v>100</v>
      </c>
      <c r="D429" s="1"/>
      <c r="F429" s="1" t="str">
        <f>+IF(B420&lt;F427,"CUMPLE","NO CUMPLE")</f>
        <v>CUMPLE</v>
      </c>
      <c r="G429" s="1"/>
    </row>
    <row r="430" spans="1:8" x14ac:dyDescent="0.3">
      <c r="C430" s="1" t="s">
        <v>98</v>
      </c>
      <c r="D430" s="1"/>
      <c r="F430" s="1" t="str">
        <f>+IF(G427&lt;5,"CUMPLE","Verificar Diametro")</f>
        <v>CUMPLE</v>
      </c>
    </row>
    <row r="431" spans="1:8" x14ac:dyDescent="0.3">
      <c r="C431" s="1" t="s">
        <v>69</v>
      </c>
      <c r="D431" s="1"/>
      <c r="H431" s="34"/>
    </row>
    <row r="432" spans="1:8" x14ac:dyDescent="0.3">
      <c r="D432" s="27" t="s">
        <v>59</v>
      </c>
      <c r="E432" s="27">
        <f>IF(B420&lt;F427,A427/0.0254,"Modificar Diametro")</f>
        <v>4</v>
      </c>
      <c r="F432" s="27" t="s">
        <v>65</v>
      </c>
    </row>
    <row r="434" spans="1:8" s="34" customFormat="1" x14ac:dyDescent="0.3"/>
    <row r="435" spans="1:8" ht="18" x14ac:dyDescent="0.35">
      <c r="A435" s="26" t="s">
        <v>152</v>
      </c>
      <c r="B435" s="28"/>
    </row>
    <row r="436" spans="1:8" x14ac:dyDescent="0.3">
      <c r="B436" s="2" t="s">
        <v>20</v>
      </c>
      <c r="C436" s="2" t="s">
        <v>13</v>
      </c>
      <c r="D436" s="2" t="s">
        <v>17</v>
      </c>
      <c r="E436" s="2" t="s">
        <v>22</v>
      </c>
      <c r="F436" s="2" t="s">
        <v>18</v>
      </c>
      <c r="G436" s="2" t="s">
        <v>19</v>
      </c>
    </row>
    <row r="437" spans="1:8" x14ac:dyDescent="0.3">
      <c r="A437" s="2" t="s">
        <v>54</v>
      </c>
      <c r="B437" s="47"/>
      <c r="C437" s="48"/>
      <c r="D437" s="48"/>
      <c r="E437" s="49"/>
      <c r="F437" s="6">
        <f>+B420</f>
        <v>9.0718095238095237E-4</v>
      </c>
      <c r="G437" s="2"/>
    </row>
    <row r="438" spans="1:8" x14ac:dyDescent="0.3">
      <c r="A438" s="7" t="s">
        <v>23</v>
      </c>
      <c r="B438" s="2">
        <f>+$B$6/10000</f>
        <v>3.3408E-2</v>
      </c>
      <c r="C438" s="2">
        <v>0.97</v>
      </c>
      <c r="D438" s="2">
        <v>100</v>
      </c>
      <c r="E438" s="2">
        <v>7</v>
      </c>
      <c r="F438" s="6">
        <f t="shared" ref="F438:F439" si="19">+B438*C438*D438/360</f>
        <v>9.0016000000000002E-3</v>
      </c>
      <c r="G438" s="6">
        <f>+F438/E438</f>
        <v>1.2859428571428571E-3</v>
      </c>
    </row>
    <row r="439" spans="1:8" x14ac:dyDescent="0.3">
      <c r="A439" s="2" t="s">
        <v>88</v>
      </c>
      <c r="B439" s="2">
        <f>(48+110)/10000</f>
        <v>1.5800000000000002E-2</v>
      </c>
      <c r="C439" s="2">
        <v>0.97</v>
      </c>
      <c r="D439" s="2">
        <v>100</v>
      </c>
      <c r="E439" s="2"/>
      <c r="F439" s="6">
        <f t="shared" si="19"/>
        <v>4.257222222222223E-3</v>
      </c>
      <c r="G439" s="2"/>
    </row>
    <row r="440" spans="1:8" x14ac:dyDescent="0.3">
      <c r="A440" s="11"/>
      <c r="B440" s="11"/>
      <c r="C440" s="11"/>
      <c r="D440" s="11"/>
      <c r="E440" s="11"/>
      <c r="F440" s="12"/>
      <c r="G440" s="12"/>
    </row>
    <row r="441" spans="1:8" ht="17.25" customHeight="1" x14ac:dyDescent="0.3">
      <c r="F441" s="2" t="s">
        <v>43</v>
      </c>
      <c r="G441" s="6">
        <f>+F437+G438*5+F439</f>
        <v>1.1594117460317461E-2</v>
      </c>
    </row>
    <row r="442" spans="1:8" ht="17.25" customHeight="1" x14ac:dyDescent="0.3">
      <c r="F442" s="11"/>
      <c r="G442" s="12"/>
    </row>
    <row r="443" spans="1:8" x14ac:dyDescent="0.3">
      <c r="A443" s="1" t="s">
        <v>33</v>
      </c>
      <c r="B443" s="1"/>
      <c r="C443" s="1"/>
    </row>
    <row r="444" spans="1:8" x14ac:dyDescent="0.3">
      <c r="A444" s="5" t="s">
        <v>34</v>
      </c>
      <c r="B444" s="14">
        <f>+G441</f>
        <v>1.1594117460317461E-2</v>
      </c>
      <c r="C444" t="s">
        <v>15</v>
      </c>
    </row>
    <row r="445" spans="1:8" x14ac:dyDescent="0.3">
      <c r="A445" s="5" t="s">
        <v>44</v>
      </c>
      <c r="B445" s="7">
        <v>1.2999999999999999E-2</v>
      </c>
    </row>
    <row r="446" spans="1:8" x14ac:dyDescent="0.3">
      <c r="A446" s="5" t="s">
        <v>35</v>
      </c>
      <c r="B446" s="7">
        <v>0</v>
      </c>
    </row>
    <row r="447" spans="1:8" x14ac:dyDescent="0.3">
      <c r="A447" s="5" t="s">
        <v>36</v>
      </c>
      <c r="B447" s="7">
        <v>0.2</v>
      </c>
      <c r="C447" t="s">
        <v>49</v>
      </c>
    </row>
    <row r="448" spans="1:8" x14ac:dyDescent="0.3">
      <c r="A448" s="5" t="s">
        <v>38</v>
      </c>
      <c r="B448" s="7">
        <v>0.01</v>
      </c>
      <c r="C448" t="s">
        <v>50</v>
      </c>
      <c r="H448" s="13"/>
    </row>
    <row r="449" spans="1:11" x14ac:dyDescent="0.3">
      <c r="A449" s="5" t="s">
        <v>48</v>
      </c>
      <c r="B449" s="7">
        <v>0.68</v>
      </c>
      <c r="C449" t="s">
        <v>49</v>
      </c>
      <c r="G449" s="13"/>
    </row>
    <row r="451" spans="1:11" x14ac:dyDescent="0.3">
      <c r="A451" s="8" t="s">
        <v>37</v>
      </c>
      <c r="B451" s="2" t="s">
        <v>38</v>
      </c>
      <c r="C451" s="5" t="s">
        <v>39</v>
      </c>
      <c r="D451" s="5" t="s">
        <v>40</v>
      </c>
      <c r="E451" s="5" t="s">
        <v>41</v>
      </c>
      <c r="F451" s="5" t="s">
        <v>34</v>
      </c>
      <c r="G451" s="17" t="s">
        <v>45</v>
      </c>
      <c r="H451" s="8" t="s">
        <v>60</v>
      </c>
      <c r="I451" s="17" t="s">
        <v>46</v>
      </c>
      <c r="J451" s="8" t="s">
        <v>101</v>
      </c>
      <c r="K451" s="8" t="s">
        <v>96</v>
      </c>
    </row>
    <row r="452" spans="1:11" x14ac:dyDescent="0.3">
      <c r="A452" s="9">
        <v>6.5338636748604018E-2</v>
      </c>
      <c r="B452" s="4">
        <f>+B448</f>
        <v>0.01</v>
      </c>
      <c r="C452" s="2">
        <f>+A452*B447</f>
        <v>1.3067727349720804E-2</v>
      </c>
      <c r="D452" s="2">
        <f>+B447+2*A452</f>
        <v>0.33067727349720805</v>
      </c>
      <c r="E452" s="2">
        <f>C452/D452</f>
        <v>3.9518069117716784E-2</v>
      </c>
      <c r="F452" s="2">
        <f>C452*(E452^(2/3))*(B452^(1/2))/B445</f>
        <v>1.1662380049566828E-2</v>
      </c>
      <c r="G452" s="31">
        <f>ROUND(A452,2)</f>
        <v>7.0000000000000007E-2</v>
      </c>
      <c r="H452" s="20">
        <f>+ROUND(G452,4)*100</f>
        <v>7.0000000000000009</v>
      </c>
      <c r="I452" s="2">
        <f>4/5*B449</f>
        <v>0.54400000000000004</v>
      </c>
      <c r="J452" s="9">
        <f>+(B449-G452)*100</f>
        <v>61.000000000000007</v>
      </c>
      <c r="K452" s="20">
        <f>+B444/C452</f>
        <v>0.88723288679306367</v>
      </c>
    </row>
    <row r="454" spans="1:11" x14ac:dyDescent="0.3">
      <c r="F454" s="1" t="s">
        <v>47</v>
      </c>
      <c r="G454" s="1"/>
      <c r="H454" s="1"/>
      <c r="I454" s="1" t="str">
        <f>IF(G452&lt;I452,"CUMPLE","NO CUMPLE")</f>
        <v>CUMPLE</v>
      </c>
    </row>
    <row r="455" spans="1:11" x14ac:dyDescent="0.3">
      <c r="F455" s="1" t="s">
        <v>97</v>
      </c>
      <c r="G455" s="1"/>
      <c r="I455" s="1" t="str">
        <f>+IF(K452&lt;3,"CUMPLE","Verificar Ancho")</f>
        <v>CUMPLE</v>
      </c>
    </row>
    <row r="456" spans="1:11" x14ac:dyDescent="0.3">
      <c r="F456" s="1"/>
      <c r="G456" s="1"/>
      <c r="I456" s="1"/>
    </row>
    <row r="458" spans="1:11" ht="18" x14ac:dyDescent="0.35">
      <c r="A458" s="37" t="s">
        <v>153</v>
      </c>
      <c r="B458" s="28"/>
      <c r="C458" s="28"/>
      <c r="D458" s="28"/>
    </row>
    <row r="459" spans="1:11" x14ac:dyDescent="0.3">
      <c r="B459" s="2" t="s">
        <v>20</v>
      </c>
      <c r="C459" s="2" t="s">
        <v>13</v>
      </c>
      <c r="D459" s="2" t="s">
        <v>17</v>
      </c>
      <c r="E459" s="2" t="s">
        <v>22</v>
      </c>
      <c r="F459" s="2" t="s">
        <v>18</v>
      </c>
      <c r="G459" s="2" t="s">
        <v>19</v>
      </c>
    </row>
    <row r="460" spans="1:11" x14ac:dyDescent="0.3">
      <c r="A460" s="2" t="s">
        <v>54</v>
      </c>
      <c r="B460" s="47"/>
      <c r="C460" s="48"/>
      <c r="D460" s="48"/>
      <c r="E460" s="49"/>
      <c r="F460" s="6">
        <f>+B444</f>
        <v>1.1594117460317461E-2</v>
      </c>
      <c r="G460" s="2"/>
    </row>
    <row r="461" spans="1:11" x14ac:dyDescent="0.3">
      <c r="A461" s="7" t="s">
        <v>24</v>
      </c>
      <c r="B461" s="2">
        <f>+$B$7/10000</f>
        <v>4.7840000000000001E-3</v>
      </c>
      <c r="C461" s="2">
        <v>0.97</v>
      </c>
      <c r="D461" s="2">
        <v>100</v>
      </c>
      <c r="E461" s="2"/>
      <c r="F461" s="6">
        <f t="shared" ref="F461" si="20">+B461*C461*D461/360</f>
        <v>1.2890222222222221E-3</v>
      </c>
      <c r="G461" s="6"/>
    </row>
    <row r="462" spans="1:11" x14ac:dyDescent="0.3">
      <c r="A462" s="11"/>
      <c r="B462" s="11"/>
      <c r="C462" s="11"/>
      <c r="D462" s="11"/>
      <c r="E462" s="11"/>
      <c r="F462" s="12"/>
      <c r="G462" s="12"/>
    </row>
    <row r="463" spans="1:11" x14ac:dyDescent="0.3">
      <c r="F463" s="2" t="s">
        <v>43</v>
      </c>
      <c r="G463" s="6">
        <f>+F460+F461</f>
        <v>1.2883139682539683E-2</v>
      </c>
    </row>
    <row r="464" spans="1:11" x14ac:dyDescent="0.3">
      <c r="A464" s="1" t="s">
        <v>71</v>
      </c>
      <c r="B464" s="1"/>
      <c r="C464" s="1"/>
    </row>
    <row r="465" spans="1:8" x14ac:dyDescent="0.3">
      <c r="A465" s="5" t="s">
        <v>66</v>
      </c>
      <c r="B465" s="14">
        <f>+G463</f>
        <v>1.2883139682539683E-2</v>
      </c>
      <c r="C465" t="s">
        <v>15</v>
      </c>
    </row>
    <row r="466" spans="1:8" x14ac:dyDescent="0.3">
      <c r="A466" s="5" t="s">
        <v>56</v>
      </c>
      <c r="B466" s="7">
        <v>0.01</v>
      </c>
      <c r="D466" s="1"/>
      <c r="E466" s="1"/>
    </row>
    <row r="467" spans="1:8" ht="18" x14ac:dyDescent="0.35">
      <c r="A467" s="21" t="s">
        <v>68</v>
      </c>
      <c r="B467" s="15">
        <f>300*PI()/180</f>
        <v>5.2359877559829888</v>
      </c>
      <c r="C467" t="s">
        <v>58</v>
      </c>
    </row>
    <row r="468" spans="1:8" x14ac:dyDescent="0.3">
      <c r="A468" s="5" t="s">
        <v>38</v>
      </c>
      <c r="B468" s="7">
        <v>0.1181</v>
      </c>
      <c r="C468" t="s">
        <v>50</v>
      </c>
    </row>
    <row r="469" spans="1:8" x14ac:dyDescent="0.3">
      <c r="A469" s="23" t="s">
        <v>57</v>
      </c>
      <c r="B469" s="22">
        <v>4</v>
      </c>
      <c r="C469" t="s">
        <v>65</v>
      </c>
      <c r="G469" s="13"/>
    </row>
    <row r="471" spans="1:8" x14ac:dyDescent="0.3">
      <c r="A471" s="8" t="s">
        <v>57</v>
      </c>
      <c r="B471" s="2" t="s">
        <v>38</v>
      </c>
      <c r="C471" s="5" t="s">
        <v>39</v>
      </c>
      <c r="D471" s="5" t="s">
        <v>40</v>
      </c>
      <c r="E471" s="5" t="s">
        <v>41</v>
      </c>
      <c r="F471" s="8" t="s">
        <v>99</v>
      </c>
      <c r="G471" s="8" t="s">
        <v>96</v>
      </c>
    </row>
    <row r="472" spans="1:8" x14ac:dyDescent="0.3">
      <c r="A472" s="9">
        <f>+B469*0.0254</f>
        <v>0.1016</v>
      </c>
      <c r="B472" s="2">
        <f>+B468</f>
        <v>0.1181</v>
      </c>
      <c r="C472" s="4">
        <f>+((B467-SIN(B467))*(A472)^2)/8</f>
        <v>7.8735496203111068E-3</v>
      </c>
      <c r="D472" s="2">
        <f>+B467*A472/2</f>
        <v>0.26598817800393582</v>
      </c>
      <c r="E472" s="2">
        <f>(1-SIN(B467)/B467)*(A472)/4</f>
        <v>2.9601126183114054E-2</v>
      </c>
      <c r="F472" s="9">
        <f>C472*(E472^(2/3))*(B472^(1/2))/B466</f>
        <v>2.5892123734715371E-2</v>
      </c>
      <c r="G472" s="20">
        <f>+B465/C472</f>
        <v>1.6362556031025093</v>
      </c>
    </row>
    <row r="474" spans="1:8" x14ac:dyDescent="0.3">
      <c r="C474" s="1" t="s">
        <v>100</v>
      </c>
      <c r="D474" s="1"/>
      <c r="F474" s="1" t="str">
        <f>+IF(B465&lt;F472,"CUMPLE","NO CUMPLE")</f>
        <v>CUMPLE</v>
      </c>
      <c r="G474" s="1"/>
    </row>
    <row r="475" spans="1:8" x14ac:dyDescent="0.3">
      <c r="C475" s="1" t="s">
        <v>98</v>
      </c>
      <c r="D475" s="1"/>
      <c r="F475" s="1" t="str">
        <f>+IF(G472&lt;5,"CUMPLE","Verificar Diametro")</f>
        <v>CUMPLE</v>
      </c>
    </row>
    <row r="476" spans="1:8" x14ac:dyDescent="0.3">
      <c r="C476" s="1" t="s">
        <v>69</v>
      </c>
      <c r="D476" s="1"/>
      <c r="H476" s="34"/>
    </row>
    <row r="477" spans="1:8" x14ac:dyDescent="0.3">
      <c r="D477" s="27" t="s">
        <v>59</v>
      </c>
      <c r="E477" s="27">
        <f>IF(B465&lt;F472,A472/0.0254,"Modificar Diametro")</f>
        <v>4</v>
      </c>
      <c r="F477" s="27" t="s">
        <v>65</v>
      </c>
    </row>
    <row r="478" spans="1:8" x14ac:dyDescent="0.3">
      <c r="D478" s="35"/>
      <c r="E478" s="35"/>
      <c r="F478" s="35"/>
    </row>
    <row r="479" spans="1:8" x14ac:dyDescent="0.3">
      <c r="D479" s="35"/>
      <c r="E479" s="35"/>
      <c r="F479" s="35"/>
    </row>
    <row r="480" spans="1:8" ht="18" x14ac:dyDescent="0.35">
      <c r="A480" s="10" t="s">
        <v>116</v>
      </c>
      <c r="B480" s="28"/>
      <c r="C480" s="28"/>
      <c r="D480" s="28"/>
    </row>
    <row r="481" spans="1:7" x14ac:dyDescent="0.3">
      <c r="B481" s="2" t="s">
        <v>20</v>
      </c>
      <c r="C481" s="2" t="s">
        <v>13</v>
      </c>
      <c r="D481" s="2" t="s">
        <v>17</v>
      </c>
      <c r="E481" s="2" t="s">
        <v>22</v>
      </c>
      <c r="F481" s="2" t="s">
        <v>18</v>
      </c>
      <c r="G481" s="2" t="s">
        <v>19</v>
      </c>
    </row>
    <row r="482" spans="1:7" x14ac:dyDescent="0.3">
      <c r="A482" s="2" t="s">
        <v>54</v>
      </c>
      <c r="B482" s="47"/>
      <c r="C482" s="48"/>
      <c r="D482" s="48"/>
      <c r="E482" s="49"/>
      <c r="F482" s="6">
        <f>+B398+B465</f>
        <v>9.1486730423280427E-2</v>
      </c>
      <c r="G482" s="2"/>
    </row>
    <row r="483" spans="1:7" x14ac:dyDescent="0.3">
      <c r="A483" s="7" t="s">
        <v>25</v>
      </c>
      <c r="B483" s="2">
        <f>+$B$8/10000</f>
        <v>3.5923999999999998E-2</v>
      </c>
      <c r="C483" s="2">
        <v>0.97</v>
      </c>
      <c r="D483" s="2">
        <v>100</v>
      </c>
      <c r="E483" s="2">
        <v>6</v>
      </c>
      <c r="F483" s="6">
        <f t="shared" ref="F483" si="21">+B483*C483*D483/360</f>
        <v>9.679522222222221E-3</v>
      </c>
      <c r="G483" s="6">
        <f t="shared" ref="G483" si="22">+F483/E483</f>
        <v>1.6132537037037034E-3</v>
      </c>
    </row>
    <row r="484" spans="1:7" x14ac:dyDescent="0.3">
      <c r="A484" s="11"/>
      <c r="B484" s="11"/>
      <c r="C484" s="11"/>
      <c r="D484" s="11"/>
      <c r="E484" s="11"/>
      <c r="F484" s="12"/>
      <c r="G484" s="12"/>
    </row>
    <row r="485" spans="1:7" x14ac:dyDescent="0.3">
      <c r="F485" s="2" t="s">
        <v>43</v>
      </c>
      <c r="G485" s="6">
        <f>+F482+G483</f>
        <v>9.3099984126984128E-2</v>
      </c>
    </row>
    <row r="486" spans="1:7" x14ac:dyDescent="0.3">
      <c r="A486" s="1" t="s">
        <v>71</v>
      </c>
      <c r="B486" s="1"/>
      <c r="C486" s="1"/>
    </row>
    <row r="487" spans="1:7" x14ac:dyDescent="0.3">
      <c r="A487" s="5" t="s">
        <v>66</v>
      </c>
      <c r="B487" s="14">
        <f>+G485</f>
        <v>9.3099984126984128E-2</v>
      </c>
      <c r="C487" t="s">
        <v>15</v>
      </c>
    </row>
    <row r="488" spans="1:7" x14ac:dyDescent="0.3">
      <c r="A488" s="5" t="s">
        <v>56</v>
      </c>
      <c r="B488" s="7">
        <v>0.01</v>
      </c>
      <c r="D488" s="1"/>
      <c r="E488" s="1"/>
    </row>
    <row r="489" spans="1:7" ht="18" x14ac:dyDescent="0.35">
      <c r="A489" s="21" t="s">
        <v>93</v>
      </c>
      <c r="B489" s="15">
        <f>180*PI()/180</f>
        <v>3.1415926535897931</v>
      </c>
      <c r="C489" t="s">
        <v>58</v>
      </c>
    </row>
    <row r="490" spans="1:7" x14ac:dyDescent="0.3">
      <c r="A490" s="5" t="s">
        <v>38</v>
      </c>
      <c r="B490" s="7">
        <v>0.02</v>
      </c>
      <c r="C490" t="s">
        <v>50</v>
      </c>
    </row>
    <row r="491" spans="1:7" x14ac:dyDescent="0.3">
      <c r="A491" s="23" t="s">
        <v>57</v>
      </c>
      <c r="B491" s="22">
        <v>14</v>
      </c>
      <c r="C491" t="s">
        <v>65</v>
      </c>
      <c r="G491" s="13"/>
    </row>
    <row r="493" spans="1:7" x14ac:dyDescent="0.3">
      <c r="A493" s="8" t="s">
        <v>57</v>
      </c>
      <c r="B493" s="2" t="s">
        <v>38</v>
      </c>
      <c r="C493" s="5" t="s">
        <v>39</v>
      </c>
      <c r="D493" s="5" t="s">
        <v>40</v>
      </c>
      <c r="E493" s="5" t="s">
        <v>41</v>
      </c>
      <c r="F493" s="8" t="s">
        <v>99</v>
      </c>
      <c r="G493" s="8" t="s">
        <v>96</v>
      </c>
    </row>
    <row r="494" spans="1:7" x14ac:dyDescent="0.3">
      <c r="A494" s="9">
        <f>+B491*0.0254</f>
        <v>0.35559999999999997</v>
      </c>
      <c r="B494" s="2">
        <f>+B490</f>
        <v>0.02</v>
      </c>
      <c r="C494" s="4">
        <f>+((B489-SIN(B489))*(A494)^2)/8</f>
        <v>4.9657332951554771E-2</v>
      </c>
      <c r="D494" s="2">
        <f>+B489*A494/2</f>
        <v>0.55857517380826516</v>
      </c>
      <c r="E494" s="2">
        <f>(1-SIN(B489)/B489)*(A494)/4</f>
        <v>8.8899999999999993E-2</v>
      </c>
      <c r="F494" s="9">
        <f>C494*(E494^(2/3))*(B494^(1/2))/B488</f>
        <v>0.13988341580465874</v>
      </c>
      <c r="G494" s="20">
        <f>+B487/C494</f>
        <v>1.8748486596694913</v>
      </c>
    </row>
    <row r="496" spans="1:7" x14ac:dyDescent="0.3">
      <c r="C496" s="1" t="s">
        <v>100</v>
      </c>
      <c r="D496" s="1"/>
      <c r="F496" s="1" t="str">
        <f>+IF(B487&lt;F494,"CUMPLE","NO CUMPLE")</f>
        <v>CUMPLE</v>
      </c>
      <c r="G496" s="1"/>
    </row>
    <row r="497" spans="1:7" x14ac:dyDescent="0.3">
      <c r="C497" s="1" t="s">
        <v>98</v>
      </c>
      <c r="D497" s="1"/>
      <c r="F497" s="1" t="str">
        <f>+IF(G494&lt;5,"CUMPLE","Verificar Diametro")</f>
        <v>CUMPLE</v>
      </c>
    </row>
    <row r="498" spans="1:7" x14ac:dyDescent="0.3">
      <c r="C498" s="1" t="s">
        <v>69</v>
      </c>
      <c r="D498" s="1"/>
    </row>
    <row r="499" spans="1:7" x14ac:dyDescent="0.3">
      <c r="D499" s="27" t="s">
        <v>59</v>
      </c>
      <c r="E499" s="27">
        <f>IF(B487&lt;F494,A494/0.0254,"Modificar Diametro")</f>
        <v>14</v>
      </c>
      <c r="F499" s="27" t="s">
        <v>65</v>
      </c>
    </row>
    <row r="502" spans="1:7" ht="18" x14ac:dyDescent="0.35">
      <c r="A502" s="37" t="s">
        <v>117</v>
      </c>
      <c r="B502" s="28"/>
      <c r="C502" s="28"/>
      <c r="D502" s="28"/>
    </row>
    <row r="503" spans="1:7" x14ac:dyDescent="0.3">
      <c r="B503" s="2" t="s">
        <v>20</v>
      </c>
      <c r="C503" s="2" t="s">
        <v>13</v>
      </c>
      <c r="D503" s="2" t="s">
        <v>17</v>
      </c>
      <c r="E503" s="2" t="s">
        <v>22</v>
      </c>
      <c r="F503" s="2" t="s">
        <v>18</v>
      </c>
      <c r="G503" s="2" t="s">
        <v>19</v>
      </c>
    </row>
    <row r="504" spans="1:7" x14ac:dyDescent="0.3">
      <c r="A504" s="2" t="s">
        <v>54</v>
      </c>
      <c r="B504" s="47"/>
      <c r="C504" s="48"/>
      <c r="D504" s="48"/>
      <c r="E504" s="49"/>
      <c r="F504" s="6">
        <f>+B487</f>
        <v>9.3099984126984128E-2</v>
      </c>
      <c r="G504" s="2"/>
    </row>
    <row r="505" spans="1:7" x14ac:dyDescent="0.3">
      <c r="A505" s="11"/>
      <c r="B505" s="11"/>
      <c r="C505" s="11"/>
      <c r="D505" s="11"/>
      <c r="E505" s="11"/>
      <c r="F505" s="12"/>
      <c r="G505" s="12"/>
    </row>
    <row r="506" spans="1:7" x14ac:dyDescent="0.3">
      <c r="F506" s="2" t="s">
        <v>43</v>
      </c>
      <c r="G506" s="6">
        <f>+F504</f>
        <v>9.3099984126984128E-2</v>
      </c>
    </row>
    <row r="507" spans="1:7" x14ac:dyDescent="0.3">
      <c r="A507" s="1" t="s">
        <v>71</v>
      </c>
      <c r="B507" s="1"/>
      <c r="C507" s="1"/>
    </row>
    <row r="508" spans="1:7" x14ac:dyDescent="0.3">
      <c r="A508" s="5" t="s">
        <v>66</v>
      </c>
      <c r="B508" s="14">
        <f>+G506</f>
        <v>9.3099984126984128E-2</v>
      </c>
      <c r="C508" t="s">
        <v>15</v>
      </c>
    </row>
    <row r="509" spans="1:7" x14ac:dyDescent="0.3">
      <c r="A509" s="5" t="s">
        <v>56</v>
      </c>
      <c r="B509" s="7">
        <v>0.01</v>
      </c>
      <c r="D509" s="1"/>
      <c r="E509" s="1"/>
    </row>
    <row r="510" spans="1:7" ht="18" x14ac:dyDescent="0.35">
      <c r="A510" s="21" t="s">
        <v>93</v>
      </c>
      <c r="B510" s="15">
        <f>180*PI()/180</f>
        <v>3.1415926535897931</v>
      </c>
      <c r="C510" t="s">
        <v>58</v>
      </c>
    </row>
    <row r="511" spans="1:7" x14ac:dyDescent="0.3">
      <c r="A511" s="5" t="s">
        <v>38</v>
      </c>
      <c r="B511" s="7">
        <v>0.20569999999999999</v>
      </c>
      <c r="C511" t="s">
        <v>50</v>
      </c>
    </row>
    <row r="512" spans="1:7" x14ac:dyDescent="0.3">
      <c r="A512" s="23" t="s">
        <v>57</v>
      </c>
      <c r="B512" s="22">
        <v>14</v>
      </c>
      <c r="C512" t="s">
        <v>65</v>
      </c>
      <c r="G512" s="13"/>
    </row>
    <row r="514" spans="1:7" x14ac:dyDescent="0.3">
      <c r="A514" s="8" t="s">
        <v>57</v>
      </c>
      <c r="B514" s="2" t="s">
        <v>38</v>
      </c>
      <c r="C514" s="5" t="s">
        <v>39</v>
      </c>
      <c r="D514" s="5" t="s">
        <v>40</v>
      </c>
      <c r="E514" s="5" t="s">
        <v>41</v>
      </c>
      <c r="F514" s="8" t="s">
        <v>99</v>
      </c>
      <c r="G514" s="8" t="s">
        <v>96</v>
      </c>
    </row>
    <row r="515" spans="1:7" x14ac:dyDescent="0.3">
      <c r="A515" s="9">
        <f>+B512*0.0254</f>
        <v>0.35559999999999997</v>
      </c>
      <c r="B515" s="2">
        <f>+B511</f>
        <v>0.20569999999999999</v>
      </c>
      <c r="C515" s="4">
        <f>+((B510-SIN(B510))*(A515)^2)/8</f>
        <v>4.9657332951554771E-2</v>
      </c>
      <c r="D515" s="2">
        <f>+B510*A515/2</f>
        <v>0.55857517380826516</v>
      </c>
      <c r="E515" s="2">
        <f>(1-SIN(B510)/B510)*(A515)/4</f>
        <v>8.8899999999999993E-2</v>
      </c>
      <c r="F515" s="9">
        <f>C515*(E515^(2/3))*(B515^(1/2))/B509</f>
        <v>0.44860940764398433</v>
      </c>
      <c r="G515" s="20">
        <f>+B508/C515</f>
        <v>1.8748486596694913</v>
      </c>
    </row>
    <row r="517" spans="1:7" x14ac:dyDescent="0.3">
      <c r="C517" s="1" t="s">
        <v>100</v>
      </c>
      <c r="D517" s="1"/>
      <c r="F517" s="1" t="str">
        <f>+IF(B508&lt;F515,"CUMPLE","NO CUMPLE")</f>
        <v>CUMPLE</v>
      </c>
      <c r="G517" s="1"/>
    </row>
    <row r="518" spans="1:7" x14ac:dyDescent="0.3">
      <c r="C518" s="1" t="s">
        <v>98</v>
      </c>
      <c r="D518" s="1"/>
      <c r="F518" s="1" t="str">
        <f>+IF(G515&lt;5,"CUMPLE","Verificar Diametro")</f>
        <v>CUMPLE</v>
      </c>
    </row>
    <row r="519" spans="1:7" x14ac:dyDescent="0.3">
      <c r="C519" s="1" t="s">
        <v>69</v>
      </c>
      <c r="D519" s="1"/>
    </row>
    <row r="520" spans="1:7" x14ac:dyDescent="0.3">
      <c r="D520" s="27" t="s">
        <v>59</v>
      </c>
      <c r="E520" s="27">
        <f>IF(B508&lt;F515,A515/0.0254,"Modificar Diametro")</f>
        <v>14</v>
      </c>
      <c r="F520" s="27" t="s">
        <v>65</v>
      </c>
    </row>
    <row r="523" spans="1:7" ht="18" x14ac:dyDescent="0.35">
      <c r="A523" s="26" t="s">
        <v>154</v>
      </c>
      <c r="B523" s="28"/>
    </row>
    <row r="524" spans="1:7" x14ac:dyDescent="0.3">
      <c r="A524" t="s">
        <v>90</v>
      </c>
      <c r="B524" s="2" t="s">
        <v>20</v>
      </c>
      <c r="C524" s="2" t="s">
        <v>13</v>
      </c>
      <c r="D524" s="2" t="s">
        <v>17</v>
      </c>
      <c r="E524" s="2" t="s">
        <v>22</v>
      </c>
      <c r="F524" s="2" t="s">
        <v>18</v>
      </c>
      <c r="G524" s="2" t="s">
        <v>19</v>
      </c>
    </row>
    <row r="525" spans="1:7" x14ac:dyDescent="0.3">
      <c r="A525" s="7" t="s">
        <v>25</v>
      </c>
      <c r="B525" s="2">
        <f>+$B$8/10000</f>
        <v>3.5923999999999998E-2</v>
      </c>
      <c r="C525" s="2">
        <v>0.97</v>
      </c>
      <c r="D525" s="2">
        <v>100</v>
      </c>
      <c r="E525" s="2">
        <v>6</v>
      </c>
      <c r="F525" s="6">
        <f t="shared" ref="F525:F526" si="23">+B525*C525*D525/360</f>
        <v>9.679522222222221E-3</v>
      </c>
      <c r="G525" s="6">
        <f t="shared" ref="G525" si="24">+F525/E525</f>
        <v>1.6132537037037034E-3</v>
      </c>
    </row>
    <row r="526" spans="1:7" x14ac:dyDescent="0.3">
      <c r="A526" s="2" t="s">
        <v>88</v>
      </c>
      <c r="B526" s="2">
        <f>(67+12)/10000</f>
        <v>7.9000000000000008E-3</v>
      </c>
      <c r="C526" s="2">
        <v>0.97</v>
      </c>
      <c r="D526" s="2">
        <v>100</v>
      </c>
      <c r="E526" s="2"/>
      <c r="F526" s="6">
        <f t="shared" si="23"/>
        <v>2.1286111111111115E-3</v>
      </c>
      <c r="G526" s="2"/>
    </row>
    <row r="527" spans="1:7" x14ac:dyDescent="0.3">
      <c r="A527" s="11"/>
      <c r="B527" s="11"/>
      <c r="C527" s="11"/>
      <c r="D527" s="11"/>
      <c r="E527" s="11"/>
      <c r="F527" s="12"/>
      <c r="G527" s="12"/>
    </row>
    <row r="528" spans="1:7" x14ac:dyDescent="0.3">
      <c r="F528" s="2" t="s">
        <v>43</v>
      </c>
      <c r="G528" s="6">
        <f>+G525*2+F526</f>
        <v>5.3551185185185188E-3</v>
      </c>
    </row>
    <row r="529" spans="1:11" x14ac:dyDescent="0.3">
      <c r="F529" s="11"/>
      <c r="G529" s="12"/>
    </row>
    <row r="530" spans="1:11" x14ac:dyDescent="0.3">
      <c r="A530" s="1" t="s">
        <v>33</v>
      </c>
      <c r="B530" s="1"/>
      <c r="C530" s="1"/>
    </row>
    <row r="531" spans="1:11" x14ac:dyDescent="0.3">
      <c r="A531" s="5" t="s">
        <v>34</v>
      </c>
      <c r="B531" s="14">
        <f>+G528</f>
        <v>5.3551185185185188E-3</v>
      </c>
      <c r="C531" t="s">
        <v>15</v>
      </c>
    </row>
    <row r="532" spans="1:11" x14ac:dyDescent="0.3">
      <c r="A532" s="5" t="s">
        <v>44</v>
      </c>
      <c r="B532" s="7">
        <v>1.2999999999999999E-2</v>
      </c>
    </row>
    <row r="533" spans="1:11" x14ac:dyDescent="0.3">
      <c r="A533" s="5" t="s">
        <v>35</v>
      </c>
      <c r="B533" s="7">
        <v>0</v>
      </c>
    </row>
    <row r="534" spans="1:11" x14ac:dyDescent="0.3">
      <c r="A534" s="5" t="s">
        <v>36</v>
      </c>
      <c r="B534" s="7">
        <v>0.2</v>
      </c>
      <c r="C534" t="s">
        <v>49</v>
      </c>
    </row>
    <row r="535" spans="1:11" x14ac:dyDescent="0.3">
      <c r="A535" s="5" t="s">
        <v>38</v>
      </c>
      <c r="B535" s="7">
        <v>0.01</v>
      </c>
      <c r="C535" t="s">
        <v>50</v>
      </c>
      <c r="H535" s="13"/>
    </row>
    <row r="536" spans="1:11" x14ac:dyDescent="0.3">
      <c r="A536" s="5" t="s">
        <v>48</v>
      </c>
      <c r="B536" s="7">
        <v>0.3</v>
      </c>
      <c r="C536" t="s">
        <v>49</v>
      </c>
      <c r="G536" s="13"/>
    </row>
    <row r="538" spans="1:11" x14ac:dyDescent="0.3">
      <c r="A538" s="8" t="s">
        <v>37</v>
      </c>
      <c r="B538" s="2" t="s">
        <v>38</v>
      </c>
      <c r="C538" s="5" t="s">
        <v>39</v>
      </c>
      <c r="D538" s="5" t="s">
        <v>40</v>
      </c>
      <c r="E538" s="5" t="s">
        <v>41</v>
      </c>
      <c r="F538" s="5" t="s">
        <v>34</v>
      </c>
      <c r="G538" s="17" t="s">
        <v>45</v>
      </c>
      <c r="H538" s="8" t="s">
        <v>60</v>
      </c>
      <c r="I538" s="17" t="s">
        <v>46</v>
      </c>
      <c r="J538" s="8" t="s">
        <v>101</v>
      </c>
      <c r="K538" s="8" t="s">
        <v>96</v>
      </c>
    </row>
    <row r="539" spans="1:11" x14ac:dyDescent="0.3">
      <c r="A539" s="9">
        <v>3.8904547575315265E-2</v>
      </c>
      <c r="B539" s="4">
        <f>+B535</f>
        <v>0.01</v>
      </c>
      <c r="C539" s="2">
        <f>+A539*B534</f>
        <v>7.7809095150630538E-3</v>
      </c>
      <c r="D539" s="2">
        <f>+B534+2*A539</f>
        <v>0.27780909515063057</v>
      </c>
      <c r="E539" s="2">
        <f>C539/D539</f>
        <v>2.8008116547963181E-2</v>
      </c>
      <c r="F539" s="2">
        <f>C539*(E539^(2/3))*(B539^(1/2))/B532</f>
        <v>5.5200492079544366E-3</v>
      </c>
      <c r="G539" s="31">
        <f>ROUND(A539,2)</f>
        <v>0.04</v>
      </c>
      <c r="H539" s="20">
        <f>+ROUND(G539,4)*100</f>
        <v>4</v>
      </c>
      <c r="I539" s="2">
        <f>4/5*B536</f>
        <v>0.24</v>
      </c>
      <c r="J539" s="9">
        <f>+(B536-G539)*100</f>
        <v>26</v>
      </c>
      <c r="K539" s="20">
        <f>+B531/C539</f>
        <v>0.68823811768425669</v>
      </c>
    </row>
    <row r="541" spans="1:11" x14ac:dyDescent="0.3">
      <c r="F541" s="1" t="s">
        <v>47</v>
      </c>
      <c r="G541" s="1"/>
      <c r="H541" s="1"/>
      <c r="I541" s="1" t="str">
        <f>IF(G539&lt;I539,"CUMPLE","NO CUMPLE")</f>
        <v>CUMPLE</v>
      </c>
    </row>
    <row r="542" spans="1:11" x14ac:dyDescent="0.3">
      <c r="F542" s="1" t="s">
        <v>97</v>
      </c>
      <c r="G542" s="1"/>
      <c r="I542" s="1" t="str">
        <f>+IF(K539&lt;3,"CUMPLE","Verificar Ancho")</f>
        <v>CUMPLE</v>
      </c>
    </row>
    <row r="543" spans="1:11" x14ac:dyDescent="0.3">
      <c r="H543" s="1"/>
      <c r="I543" s="1"/>
    </row>
    <row r="544" spans="1:11" x14ac:dyDescent="0.3">
      <c r="H544" s="1"/>
      <c r="I544" s="1"/>
    </row>
    <row r="545" spans="1:7" ht="18" x14ac:dyDescent="0.35">
      <c r="A545" s="37" t="s">
        <v>155</v>
      </c>
      <c r="B545" s="28"/>
      <c r="C545" s="28"/>
      <c r="D545" s="28"/>
    </row>
    <row r="546" spans="1:7" x14ac:dyDescent="0.3">
      <c r="B546" s="2" t="s">
        <v>20</v>
      </c>
      <c r="C546" s="2" t="s">
        <v>13</v>
      </c>
      <c r="D546" s="2" t="s">
        <v>17</v>
      </c>
      <c r="E546" s="2" t="s">
        <v>22</v>
      </c>
      <c r="F546" s="2" t="s">
        <v>18</v>
      </c>
      <c r="G546" s="2" t="s">
        <v>19</v>
      </c>
    </row>
    <row r="547" spans="1:7" x14ac:dyDescent="0.3">
      <c r="A547" s="2" t="s">
        <v>54</v>
      </c>
      <c r="B547" s="47"/>
      <c r="C547" s="48"/>
      <c r="D547" s="48"/>
      <c r="E547" s="49"/>
      <c r="F547" s="6">
        <f>+B531</f>
        <v>5.3551185185185188E-3</v>
      </c>
      <c r="G547" s="2"/>
    </row>
    <row r="548" spans="1:7" x14ac:dyDescent="0.3">
      <c r="A548" s="11"/>
      <c r="B548" s="11"/>
      <c r="C548" s="11"/>
      <c r="D548" s="11"/>
      <c r="E548" s="11"/>
      <c r="F548" s="12"/>
      <c r="G548" s="12"/>
    </row>
    <row r="549" spans="1:7" x14ac:dyDescent="0.3">
      <c r="F549" s="2" t="s">
        <v>43</v>
      </c>
      <c r="G549" s="6">
        <f>+F547</f>
        <v>5.3551185185185188E-3</v>
      </c>
    </row>
    <row r="550" spans="1:7" x14ac:dyDescent="0.3">
      <c r="A550" s="1" t="s">
        <v>71</v>
      </c>
      <c r="B550" s="1"/>
      <c r="C550" s="1"/>
    </row>
    <row r="551" spans="1:7" x14ac:dyDescent="0.3">
      <c r="A551" s="5" t="s">
        <v>66</v>
      </c>
      <c r="B551" s="14">
        <f>+G549</f>
        <v>5.3551185185185188E-3</v>
      </c>
      <c r="C551" t="s">
        <v>15</v>
      </c>
    </row>
    <row r="552" spans="1:7" x14ac:dyDescent="0.3">
      <c r="A552" s="5" t="s">
        <v>56</v>
      </c>
      <c r="B552" s="7">
        <v>0.01</v>
      </c>
      <c r="D552" s="1"/>
      <c r="E552" s="1"/>
    </row>
    <row r="553" spans="1:7" ht="18" x14ac:dyDescent="0.35">
      <c r="A553" s="21" t="s">
        <v>68</v>
      </c>
      <c r="B553" s="15">
        <f>300*PI()/180</f>
        <v>5.2359877559829888</v>
      </c>
      <c r="C553" t="s">
        <v>58</v>
      </c>
    </row>
    <row r="554" spans="1:7" x14ac:dyDescent="0.3">
      <c r="A554" s="5" t="s">
        <v>38</v>
      </c>
      <c r="B554" s="7">
        <v>0.24679999999999999</v>
      </c>
      <c r="C554" t="s">
        <v>50</v>
      </c>
    </row>
    <row r="555" spans="1:7" x14ac:dyDescent="0.3">
      <c r="A555" s="23" t="s">
        <v>57</v>
      </c>
      <c r="B555" s="22">
        <v>4</v>
      </c>
      <c r="C555" t="s">
        <v>65</v>
      </c>
      <c r="G555" s="13"/>
    </row>
    <row r="557" spans="1:7" x14ac:dyDescent="0.3">
      <c r="A557" s="8" t="s">
        <v>57</v>
      </c>
      <c r="B557" s="2" t="s">
        <v>38</v>
      </c>
      <c r="C557" s="5" t="s">
        <v>39</v>
      </c>
      <c r="D557" s="5" t="s">
        <v>40</v>
      </c>
      <c r="E557" s="5" t="s">
        <v>41</v>
      </c>
      <c r="F557" s="8" t="s">
        <v>99</v>
      </c>
      <c r="G557" s="8" t="s">
        <v>96</v>
      </c>
    </row>
    <row r="558" spans="1:7" x14ac:dyDescent="0.3">
      <c r="A558" s="9">
        <f>+B555*0.0254</f>
        <v>0.1016</v>
      </c>
      <c r="B558" s="2">
        <f>+B554</f>
        <v>0.24679999999999999</v>
      </c>
      <c r="C558" s="4">
        <f>+((B553-SIN(B553))*(A558)^2)/8</f>
        <v>7.8735496203111068E-3</v>
      </c>
      <c r="D558" s="2">
        <f>+B553*A558/2</f>
        <v>0.26598817800393582</v>
      </c>
      <c r="E558" s="2">
        <f>(1-SIN(B553)/B553)*(A558)/4</f>
        <v>2.9601126183114054E-2</v>
      </c>
      <c r="F558" s="9">
        <f>C558*(E558^(2/3))*(B558^(1/2))/B552</f>
        <v>3.7429610058076788E-2</v>
      </c>
      <c r="G558" s="20">
        <f>+B551/C558</f>
        <v>0.68014031494817995</v>
      </c>
    </row>
    <row r="560" spans="1:7" x14ac:dyDescent="0.3">
      <c r="C560" s="1" t="s">
        <v>100</v>
      </c>
      <c r="D560" s="1"/>
      <c r="F560" s="1" t="str">
        <f>+IF(B551&lt;F558,"CUMPLE","NO CUMPLE")</f>
        <v>CUMPLE</v>
      </c>
      <c r="G560" s="1"/>
    </row>
    <row r="561" spans="1:7" x14ac:dyDescent="0.3">
      <c r="C561" s="1" t="s">
        <v>98</v>
      </c>
      <c r="D561" s="1"/>
      <c r="F561" s="1" t="str">
        <f>+IF(G558&lt;5,"CUMPLE","Verificar Diametro")</f>
        <v>CUMPLE</v>
      </c>
    </row>
    <row r="562" spans="1:7" x14ac:dyDescent="0.3">
      <c r="C562" s="1" t="s">
        <v>69</v>
      </c>
      <c r="D562" s="1"/>
    </row>
    <row r="563" spans="1:7" x14ac:dyDescent="0.3">
      <c r="D563" s="27" t="s">
        <v>59</v>
      </c>
      <c r="E563" s="27">
        <f>IF(B551&lt;F558,A558/0.0254,"Modificar Diametro")</f>
        <v>4</v>
      </c>
      <c r="F563" s="27" t="s">
        <v>65</v>
      </c>
    </row>
    <row r="566" spans="1:7" ht="18" x14ac:dyDescent="0.35">
      <c r="A566" s="10" t="s">
        <v>124</v>
      </c>
      <c r="B566" s="28"/>
      <c r="C566" s="28"/>
      <c r="D566" s="28"/>
    </row>
    <row r="567" spans="1:7" x14ac:dyDescent="0.3">
      <c r="B567" s="2" t="s">
        <v>20</v>
      </c>
      <c r="C567" s="2" t="s">
        <v>13</v>
      </c>
      <c r="D567" s="2" t="s">
        <v>17</v>
      </c>
      <c r="E567" s="2" t="s">
        <v>22</v>
      </c>
      <c r="F567" s="2" t="s">
        <v>18</v>
      </c>
      <c r="G567" s="2" t="s">
        <v>19</v>
      </c>
    </row>
    <row r="568" spans="1:7" x14ac:dyDescent="0.3">
      <c r="A568" s="2" t="s">
        <v>54</v>
      </c>
      <c r="B568" s="47"/>
      <c r="C568" s="48"/>
      <c r="D568" s="48"/>
      <c r="E568" s="49"/>
      <c r="F568" s="6">
        <f>+B551+B508</f>
        <v>9.845510264550264E-2</v>
      </c>
      <c r="G568" s="2"/>
    </row>
    <row r="569" spans="1:7" x14ac:dyDescent="0.3">
      <c r="A569" s="11"/>
      <c r="B569" s="11"/>
      <c r="C569" s="11"/>
      <c r="D569" s="11"/>
      <c r="E569" s="11"/>
      <c r="F569" s="12"/>
      <c r="G569" s="12"/>
    </row>
    <row r="570" spans="1:7" x14ac:dyDescent="0.3">
      <c r="F570" s="2" t="s">
        <v>43</v>
      </c>
      <c r="G570" s="6">
        <f>+F568</f>
        <v>9.845510264550264E-2</v>
      </c>
    </row>
    <row r="571" spans="1:7" x14ac:dyDescent="0.3">
      <c r="A571" s="1" t="s">
        <v>71</v>
      </c>
      <c r="B571" s="1"/>
      <c r="C571" s="1"/>
    </row>
    <row r="572" spans="1:7" x14ac:dyDescent="0.3">
      <c r="A572" s="5" t="s">
        <v>66</v>
      </c>
      <c r="B572" s="14">
        <f>+G570</f>
        <v>9.845510264550264E-2</v>
      </c>
      <c r="C572" t="s">
        <v>15</v>
      </c>
    </row>
    <row r="573" spans="1:7" x14ac:dyDescent="0.3">
      <c r="A573" s="5" t="s">
        <v>56</v>
      </c>
      <c r="B573" s="7">
        <v>0.01</v>
      </c>
      <c r="D573" s="1"/>
      <c r="E573" s="1"/>
    </row>
    <row r="574" spans="1:7" ht="18" x14ac:dyDescent="0.35">
      <c r="A574" s="21" t="s">
        <v>93</v>
      </c>
      <c r="B574" s="15">
        <f>180*PI()/180</f>
        <v>3.1415926535897931</v>
      </c>
      <c r="C574" t="s">
        <v>58</v>
      </c>
    </row>
    <row r="575" spans="1:7" x14ac:dyDescent="0.3">
      <c r="A575" s="5" t="s">
        <v>38</v>
      </c>
      <c r="B575" s="7">
        <v>0.01</v>
      </c>
      <c r="C575" t="s">
        <v>50</v>
      </c>
    </row>
    <row r="576" spans="1:7" x14ac:dyDescent="0.3">
      <c r="A576" s="23" t="s">
        <v>57</v>
      </c>
      <c r="B576" s="22">
        <v>14</v>
      </c>
      <c r="C576" t="s">
        <v>65</v>
      </c>
      <c r="G576" s="13"/>
    </row>
    <row r="578" spans="1:7" x14ac:dyDescent="0.3">
      <c r="A578" s="8" t="s">
        <v>57</v>
      </c>
      <c r="B578" s="2" t="s">
        <v>38</v>
      </c>
      <c r="C578" s="5" t="s">
        <v>39</v>
      </c>
      <c r="D578" s="5" t="s">
        <v>40</v>
      </c>
      <c r="E578" s="5" t="s">
        <v>41</v>
      </c>
      <c r="F578" s="8" t="s">
        <v>99</v>
      </c>
      <c r="G578" s="8" t="s">
        <v>96</v>
      </c>
    </row>
    <row r="579" spans="1:7" x14ac:dyDescent="0.3">
      <c r="A579" s="9">
        <f>+B576*0.0254</f>
        <v>0.35559999999999997</v>
      </c>
      <c r="B579" s="2">
        <f>+B575</f>
        <v>0.01</v>
      </c>
      <c r="C579" s="4">
        <f>+((B574-SIN(B574))*(A579)^2)/8</f>
        <v>4.9657332951554771E-2</v>
      </c>
      <c r="D579" s="2">
        <f>+B574*A579/2</f>
        <v>0.55857517380826516</v>
      </c>
      <c r="E579" s="2">
        <f>(1-SIN(B574)/B574)*(A579)/4</f>
        <v>8.8899999999999993E-2</v>
      </c>
      <c r="F579" s="9">
        <f>C579*(E579^(2/3))*(B579^(1/2))/B573</f>
        <v>9.8912511891011676E-2</v>
      </c>
      <c r="G579" s="20">
        <f>+B572/C579</f>
        <v>1.982690104230014</v>
      </c>
    </row>
    <row r="581" spans="1:7" x14ac:dyDescent="0.3">
      <c r="C581" s="1" t="s">
        <v>100</v>
      </c>
      <c r="D581" s="1"/>
      <c r="F581" s="1" t="str">
        <f>+IF(B572&lt;F579,"CUMPLE","NO CUMPLE")</f>
        <v>CUMPLE</v>
      </c>
      <c r="G581" s="1"/>
    </row>
    <row r="582" spans="1:7" x14ac:dyDescent="0.3">
      <c r="C582" s="1" t="s">
        <v>98</v>
      </c>
      <c r="D582" s="1"/>
      <c r="F582" s="1" t="str">
        <f>+IF(G579&lt;5,"CUMPLE","Verificar Diametro")</f>
        <v>CUMPLE</v>
      </c>
    </row>
    <row r="583" spans="1:7" x14ac:dyDescent="0.3">
      <c r="C583" s="1" t="s">
        <v>69</v>
      </c>
      <c r="D583" s="1"/>
    </row>
    <row r="584" spans="1:7" x14ac:dyDescent="0.3">
      <c r="D584" s="27" t="s">
        <v>59</v>
      </c>
      <c r="E584" s="27">
        <f>IF(B572&lt;F579,A579/0.0254,"Modificar Diametro")</f>
        <v>14</v>
      </c>
      <c r="F584" s="27" t="s">
        <v>65</v>
      </c>
    </row>
  </sheetData>
  <mergeCells count="21">
    <mergeCell ref="B369:E369"/>
    <mergeCell ref="B4:C4"/>
    <mergeCell ref="B58:E58"/>
    <mergeCell ref="B79:E79"/>
    <mergeCell ref="B102:E102"/>
    <mergeCell ref="B123:E123"/>
    <mergeCell ref="B146:E146"/>
    <mergeCell ref="B192:E192"/>
    <mergeCell ref="B257:E257"/>
    <mergeCell ref="B280:E280"/>
    <mergeCell ref="B302:E302"/>
    <mergeCell ref="B348:E348"/>
    <mergeCell ref="B214:E214"/>
    <mergeCell ref="B237:E237"/>
    <mergeCell ref="B568:E568"/>
    <mergeCell ref="B393:E393"/>
    <mergeCell ref="B460:E460"/>
    <mergeCell ref="B482:E482"/>
    <mergeCell ref="B504:E504"/>
    <mergeCell ref="B547:E547"/>
    <mergeCell ref="B437:E437"/>
  </mergeCells>
  <conditionalFormatting sqref="I543:I544">
    <cfRule type="cellIs" dxfId="209" priority="102" operator="lessThan">
      <formula>#REF!</formula>
    </cfRule>
  </conditionalFormatting>
  <conditionalFormatting sqref="I53:I54">
    <cfRule type="cellIs" dxfId="208" priority="100" operator="lessThan">
      <formula>$I$53</formula>
    </cfRule>
  </conditionalFormatting>
  <conditionalFormatting sqref="I52">
    <cfRule type="cellIs" dxfId="207" priority="98" operator="lessThan">
      <formula>$I$53</formula>
    </cfRule>
  </conditionalFormatting>
  <conditionalFormatting sqref="I74:I75">
    <cfRule type="cellIs" dxfId="206" priority="96" operator="lessThan">
      <formula>$I$53</formula>
    </cfRule>
  </conditionalFormatting>
  <conditionalFormatting sqref="I73">
    <cfRule type="cellIs" dxfId="205" priority="94" operator="lessThan">
      <formula>$I$53</formula>
    </cfRule>
  </conditionalFormatting>
  <conditionalFormatting sqref="I97:I98">
    <cfRule type="cellIs" dxfId="204" priority="92" operator="lessThan">
      <formula>$I$53</formula>
    </cfRule>
  </conditionalFormatting>
  <conditionalFormatting sqref="I96">
    <cfRule type="cellIs" dxfId="203" priority="90" operator="lessThan">
      <formula>$I$53</formula>
    </cfRule>
  </conditionalFormatting>
  <conditionalFormatting sqref="I141:I142">
    <cfRule type="cellIs" dxfId="202" priority="88" operator="lessThan">
      <formula>$I$53</formula>
    </cfRule>
  </conditionalFormatting>
  <conditionalFormatting sqref="I140">
    <cfRule type="cellIs" dxfId="201" priority="86" operator="lessThan">
      <formula>$I$53</formula>
    </cfRule>
  </conditionalFormatting>
  <conditionalFormatting sqref="I164:I165">
    <cfRule type="cellIs" dxfId="200" priority="84" operator="lessThan">
      <formula>$I$53</formula>
    </cfRule>
  </conditionalFormatting>
  <conditionalFormatting sqref="I163">
    <cfRule type="cellIs" dxfId="199" priority="82" operator="lessThan">
      <formula>$I$53</formula>
    </cfRule>
  </conditionalFormatting>
  <conditionalFormatting sqref="I187:I188">
    <cfRule type="cellIs" dxfId="198" priority="80" operator="lessThan">
      <formula>$I$53</formula>
    </cfRule>
  </conditionalFormatting>
  <conditionalFormatting sqref="I186">
    <cfRule type="cellIs" dxfId="197" priority="78" operator="lessThan">
      <formula>$I$53</formula>
    </cfRule>
  </conditionalFormatting>
  <conditionalFormatting sqref="I275:I276">
    <cfRule type="cellIs" dxfId="196" priority="76" operator="lessThan">
      <formula>$I$53</formula>
    </cfRule>
  </conditionalFormatting>
  <conditionalFormatting sqref="I274">
    <cfRule type="cellIs" dxfId="195" priority="74" operator="lessThan">
      <formula>$I$53</formula>
    </cfRule>
  </conditionalFormatting>
  <conditionalFormatting sqref="I320:I321">
    <cfRule type="cellIs" dxfId="194" priority="72" operator="lessThan">
      <formula>$I$53</formula>
    </cfRule>
  </conditionalFormatting>
  <conditionalFormatting sqref="I319">
    <cfRule type="cellIs" dxfId="193" priority="70" operator="lessThan">
      <formula>$I$53</formula>
    </cfRule>
  </conditionalFormatting>
  <conditionalFormatting sqref="I343:I344">
    <cfRule type="cellIs" dxfId="192" priority="68" operator="lessThan">
      <formula>$I$53</formula>
    </cfRule>
  </conditionalFormatting>
  <conditionalFormatting sqref="I342">
    <cfRule type="cellIs" dxfId="191" priority="66" operator="lessThan">
      <formula>$I$53</formula>
    </cfRule>
  </conditionalFormatting>
  <conditionalFormatting sqref="I455:I456">
    <cfRule type="cellIs" dxfId="190" priority="64" operator="lessThan">
      <formula>$I$53</formula>
    </cfRule>
  </conditionalFormatting>
  <conditionalFormatting sqref="I454">
    <cfRule type="cellIs" dxfId="189" priority="62" operator="lessThan">
      <formula>$I$53</formula>
    </cfRule>
  </conditionalFormatting>
  <conditionalFormatting sqref="I542">
    <cfRule type="cellIs" dxfId="188" priority="60" operator="lessThan">
      <formula>$I$53</formula>
    </cfRule>
  </conditionalFormatting>
  <conditionalFormatting sqref="I541">
    <cfRule type="cellIs" dxfId="187" priority="58" operator="lessThan">
      <formula>$I$53</formula>
    </cfRule>
  </conditionalFormatting>
  <conditionalFormatting sqref="F115">
    <cfRule type="cellIs" dxfId="186" priority="56" operator="lessThan">
      <formula>$I$53</formula>
    </cfRule>
  </conditionalFormatting>
  <conditionalFormatting sqref="F116">
    <cfRule type="cellIs" dxfId="185" priority="54" operator="lessThan">
      <formula>$I$53</formula>
    </cfRule>
  </conditionalFormatting>
  <conditionalFormatting sqref="F206">
    <cfRule type="cellIs" dxfId="184" priority="52" operator="lessThan">
      <formula>$I$53</formula>
    </cfRule>
  </conditionalFormatting>
  <conditionalFormatting sqref="F207">
    <cfRule type="cellIs" dxfId="183" priority="50" operator="lessThan">
      <formula>$I$53</formula>
    </cfRule>
  </conditionalFormatting>
  <conditionalFormatting sqref="F294">
    <cfRule type="cellIs" dxfId="182" priority="48" operator="lessThan">
      <formula>$I$53</formula>
    </cfRule>
  </conditionalFormatting>
  <conditionalFormatting sqref="F295">
    <cfRule type="cellIs" dxfId="181" priority="46" operator="lessThan">
      <formula>$I$53</formula>
    </cfRule>
  </conditionalFormatting>
  <conditionalFormatting sqref="F361">
    <cfRule type="cellIs" dxfId="180" priority="44" operator="lessThan">
      <formula>$I$53</formula>
    </cfRule>
  </conditionalFormatting>
  <conditionalFormatting sqref="F362">
    <cfRule type="cellIs" dxfId="179" priority="42" operator="lessThan">
      <formula>$I$53</formula>
    </cfRule>
  </conditionalFormatting>
  <conditionalFormatting sqref="F385">
    <cfRule type="cellIs" dxfId="178" priority="40" operator="lessThan">
      <formula>$I$53</formula>
    </cfRule>
  </conditionalFormatting>
  <conditionalFormatting sqref="F386">
    <cfRule type="cellIs" dxfId="177" priority="38" operator="lessThan">
      <formula>$I$53</formula>
    </cfRule>
  </conditionalFormatting>
  <conditionalFormatting sqref="F407">
    <cfRule type="cellIs" dxfId="176" priority="36" operator="lessThan">
      <formula>$I$53</formula>
    </cfRule>
  </conditionalFormatting>
  <conditionalFormatting sqref="F408">
    <cfRule type="cellIs" dxfId="175" priority="34" operator="lessThan">
      <formula>$I$53</formula>
    </cfRule>
  </conditionalFormatting>
  <conditionalFormatting sqref="F474">
    <cfRule type="cellIs" dxfId="174" priority="32" operator="lessThan">
      <formula>$I$53</formula>
    </cfRule>
  </conditionalFormatting>
  <conditionalFormatting sqref="F475">
    <cfRule type="cellIs" dxfId="173" priority="30" operator="lessThan">
      <formula>$I$53</formula>
    </cfRule>
  </conditionalFormatting>
  <conditionalFormatting sqref="F496">
    <cfRule type="cellIs" dxfId="172" priority="28" operator="lessThan">
      <formula>$I$53</formula>
    </cfRule>
  </conditionalFormatting>
  <conditionalFormatting sqref="F497">
    <cfRule type="cellIs" dxfId="171" priority="26" operator="lessThan">
      <formula>$I$53</formula>
    </cfRule>
  </conditionalFormatting>
  <conditionalFormatting sqref="F517">
    <cfRule type="cellIs" dxfId="170" priority="24" operator="lessThan">
      <formula>$I$53</formula>
    </cfRule>
  </conditionalFormatting>
  <conditionalFormatting sqref="F518">
    <cfRule type="cellIs" dxfId="169" priority="22" operator="lessThan">
      <formula>$I$53</formula>
    </cfRule>
  </conditionalFormatting>
  <conditionalFormatting sqref="F560">
    <cfRule type="cellIs" dxfId="168" priority="20" operator="lessThan">
      <formula>$I$53</formula>
    </cfRule>
  </conditionalFormatting>
  <conditionalFormatting sqref="F561">
    <cfRule type="cellIs" dxfId="167" priority="18" operator="lessThan">
      <formula>$I$53</formula>
    </cfRule>
  </conditionalFormatting>
  <conditionalFormatting sqref="F581">
    <cfRule type="cellIs" dxfId="166" priority="16" operator="lessThan">
      <formula>$I$53</formula>
    </cfRule>
  </conditionalFormatting>
  <conditionalFormatting sqref="F582">
    <cfRule type="cellIs" dxfId="165" priority="14" operator="lessThan">
      <formula>$I$53</formula>
    </cfRule>
  </conditionalFormatting>
  <conditionalFormatting sqref="F429">
    <cfRule type="cellIs" dxfId="164" priority="12" operator="lessThan">
      <formula>$I$53</formula>
    </cfRule>
  </conditionalFormatting>
  <conditionalFormatting sqref="F430">
    <cfRule type="cellIs" dxfId="163" priority="10" operator="lessThan">
      <formula>$I$53</formula>
    </cfRule>
  </conditionalFormatting>
  <conditionalFormatting sqref="I232:I234">
    <cfRule type="cellIs" dxfId="162" priority="8" operator="lessThan">
      <formula>$I$313</formula>
    </cfRule>
  </conditionalFormatting>
  <conditionalFormatting sqref="I231">
    <cfRule type="cellIs" dxfId="161" priority="6" operator="lessThan">
      <formula>$I$313</formula>
    </cfRule>
  </conditionalFormatting>
  <conditionalFormatting sqref="F250">
    <cfRule type="cellIs" dxfId="160" priority="4" operator="lessThan">
      <formula>$I$294</formula>
    </cfRule>
  </conditionalFormatting>
  <conditionalFormatting sqref="F251">
    <cfRule type="cellIs" dxfId="159" priority="2" operator="lessThan">
      <formula>$I$294</formula>
    </cfRule>
  </conditionalFormatting>
  <pageMargins left="0.7" right="0.7" top="0.75" bottom="0.75" header="0.3" footer="0.3"/>
  <pageSetup paperSize="9" orientation="portrait" horizontalDpi="0" verticalDpi="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01" operator="containsText" id="{F66D9C95-A29F-4BAB-AAB0-AC6A3312369D}">
            <xm:f>NOT(ISERROR(SEARCH(#REF!,I543)))</xm:f>
            <xm:f>#REF!</xm:f>
            <x14:dxf>
              <fill>
                <patternFill>
                  <bgColor rgb="FF00B0F0"/>
                </patternFill>
              </fill>
            </x14:dxf>
          </x14:cfRule>
          <xm:sqref>I543:I544</xm:sqref>
        </x14:conditionalFormatting>
        <x14:conditionalFormatting xmlns:xm="http://schemas.microsoft.com/office/excel/2006/main">
          <x14:cfRule type="containsText" priority="99" operator="containsText" id="{7F1DAE97-EE53-417A-8E30-77191BD1F68E}">
            <xm:f>NOT(ISERROR(SEARCH($I$53,I53)))</xm:f>
            <xm:f>$I$53</xm:f>
            <x14:dxf>
              <fill>
                <patternFill>
                  <bgColor rgb="FF00B0F0"/>
                </patternFill>
              </fill>
            </x14:dxf>
          </x14:cfRule>
          <xm:sqref>I53:I54</xm:sqref>
        </x14:conditionalFormatting>
        <x14:conditionalFormatting xmlns:xm="http://schemas.microsoft.com/office/excel/2006/main">
          <x14:cfRule type="containsText" priority="97" operator="containsText" id="{9E7DBB80-5B2B-4C5C-A3B5-53018415C8ED}">
            <xm:f>NOT(ISERROR(SEARCH($I$53,I52)))</xm:f>
            <xm:f>$I$53</xm:f>
            <x14:dxf>
              <fill>
                <patternFill>
                  <bgColor rgb="FF00B0F0"/>
                </patternFill>
              </fill>
            </x14:dxf>
          </x14:cfRule>
          <xm:sqref>I52</xm:sqref>
        </x14:conditionalFormatting>
        <x14:conditionalFormatting xmlns:xm="http://schemas.microsoft.com/office/excel/2006/main">
          <x14:cfRule type="containsText" priority="95" operator="containsText" id="{8BA3C442-597A-497E-8419-602652C508FA}">
            <xm:f>NOT(ISERROR(SEARCH($I$53,I74)))</xm:f>
            <xm:f>$I$53</xm:f>
            <x14:dxf>
              <fill>
                <patternFill>
                  <bgColor rgb="FF00B0F0"/>
                </patternFill>
              </fill>
            </x14:dxf>
          </x14:cfRule>
          <xm:sqref>I74:I75</xm:sqref>
        </x14:conditionalFormatting>
        <x14:conditionalFormatting xmlns:xm="http://schemas.microsoft.com/office/excel/2006/main">
          <x14:cfRule type="containsText" priority="93" operator="containsText" id="{7D821495-F3B1-45CA-AA6C-367DF423F98E}">
            <xm:f>NOT(ISERROR(SEARCH($I$53,I73)))</xm:f>
            <xm:f>$I$53</xm:f>
            <x14:dxf>
              <fill>
                <patternFill>
                  <bgColor rgb="FF00B0F0"/>
                </patternFill>
              </fill>
            </x14:dxf>
          </x14:cfRule>
          <xm:sqref>I73</xm:sqref>
        </x14:conditionalFormatting>
        <x14:conditionalFormatting xmlns:xm="http://schemas.microsoft.com/office/excel/2006/main">
          <x14:cfRule type="containsText" priority="91" operator="containsText" id="{37932C73-B067-40BB-951E-B05B0FC1D478}">
            <xm:f>NOT(ISERROR(SEARCH($I$53,I97)))</xm:f>
            <xm:f>$I$53</xm:f>
            <x14:dxf>
              <fill>
                <patternFill>
                  <bgColor rgb="FF00B0F0"/>
                </patternFill>
              </fill>
            </x14:dxf>
          </x14:cfRule>
          <xm:sqref>I97:I98</xm:sqref>
        </x14:conditionalFormatting>
        <x14:conditionalFormatting xmlns:xm="http://schemas.microsoft.com/office/excel/2006/main">
          <x14:cfRule type="containsText" priority="89" operator="containsText" id="{76D8160C-FE6B-4932-B782-966B19E5F1E4}">
            <xm:f>NOT(ISERROR(SEARCH($I$53,I96)))</xm:f>
            <xm:f>$I$53</xm:f>
            <x14:dxf>
              <fill>
                <patternFill>
                  <bgColor rgb="FF00B0F0"/>
                </patternFill>
              </fill>
            </x14:dxf>
          </x14:cfRule>
          <xm:sqref>I96</xm:sqref>
        </x14:conditionalFormatting>
        <x14:conditionalFormatting xmlns:xm="http://schemas.microsoft.com/office/excel/2006/main">
          <x14:cfRule type="containsText" priority="87" operator="containsText" id="{6D852D32-6D36-4656-9A4A-4567DF6BF693}">
            <xm:f>NOT(ISERROR(SEARCH($I$53,I141)))</xm:f>
            <xm:f>$I$53</xm:f>
            <x14:dxf>
              <fill>
                <patternFill>
                  <bgColor rgb="FF00B0F0"/>
                </patternFill>
              </fill>
            </x14:dxf>
          </x14:cfRule>
          <xm:sqref>I141:I142</xm:sqref>
        </x14:conditionalFormatting>
        <x14:conditionalFormatting xmlns:xm="http://schemas.microsoft.com/office/excel/2006/main">
          <x14:cfRule type="containsText" priority="85" operator="containsText" id="{5B18C90E-84F2-4C66-8A14-FCD01869DD71}">
            <xm:f>NOT(ISERROR(SEARCH($I$53,I140)))</xm:f>
            <xm:f>$I$53</xm:f>
            <x14:dxf>
              <fill>
                <patternFill>
                  <bgColor rgb="FF00B0F0"/>
                </patternFill>
              </fill>
            </x14:dxf>
          </x14:cfRule>
          <xm:sqref>I140</xm:sqref>
        </x14:conditionalFormatting>
        <x14:conditionalFormatting xmlns:xm="http://schemas.microsoft.com/office/excel/2006/main">
          <x14:cfRule type="containsText" priority="83" operator="containsText" id="{05B34022-7B25-45D7-AD01-D05CF3D7AE0E}">
            <xm:f>NOT(ISERROR(SEARCH($I$53,I164)))</xm:f>
            <xm:f>$I$53</xm:f>
            <x14:dxf>
              <fill>
                <patternFill>
                  <bgColor rgb="FF00B0F0"/>
                </patternFill>
              </fill>
            </x14:dxf>
          </x14:cfRule>
          <xm:sqref>I164:I165</xm:sqref>
        </x14:conditionalFormatting>
        <x14:conditionalFormatting xmlns:xm="http://schemas.microsoft.com/office/excel/2006/main">
          <x14:cfRule type="containsText" priority="81" operator="containsText" id="{5A75D137-49D9-46D4-83E5-80F19F56F08D}">
            <xm:f>NOT(ISERROR(SEARCH($I$53,I163)))</xm:f>
            <xm:f>$I$53</xm:f>
            <x14:dxf>
              <fill>
                <patternFill>
                  <bgColor rgb="FF00B0F0"/>
                </patternFill>
              </fill>
            </x14:dxf>
          </x14:cfRule>
          <xm:sqref>I163</xm:sqref>
        </x14:conditionalFormatting>
        <x14:conditionalFormatting xmlns:xm="http://schemas.microsoft.com/office/excel/2006/main">
          <x14:cfRule type="containsText" priority="79" operator="containsText" id="{1AC45597-BAFD-4337-97F4-AA2142C2E572}">
            <xm:f>NOT(ISERROR(SEARCH($I$53,I187)))</xm:f>
            <xm:f>$I$53</xm:f>
            <x14:dxf>
              <fill>
                <patternFill>
                  <bgColor rgb="FF00B0F0"/>
                </patternFill>
              </fill>
            </x14:dxf>
          </x14:cfRule>
          <xm:sqref>I187:I188</xm:sqref>
        </x14:conditionalFormatting>
        <x14:conditionalFormatting xmlns:xm="http://schemas.microsoft.com/office/excel/2006/main">
          <x14:cfRule type="containsText" priority="77" operator="containsText" id="{E1B69A4A-DC51-4DF9-9951-ECE3CC946BC0}">
            <xm:f>NOT(ISERROR(SEARCH($I$53,I186)))</xm:f>
            <xm:f>$I$53</xm:f>
            <x14:dxf>
              <fill>
                <patternFill>
                  <bgColor rgb="FF00B0F0"/>
                </patternFill>
              </fill>
            </x14:dxf>
          </x14:cfRule>
          <xm:sqref>I186</xm:sqref>
        </x14:conditionalFormatting>
        <x14:conditionalFormatting xmlns:xm="http://schemas.microsoft.com/office/excel/2006/main">
          <x14:cfRule type="containsText" priority="75" operator="containsText" id="{4C4D16BE-597B-4CC7-9D00-981E98EC994D}">
            <xm:f>NOT(ISERROR(SEARCH($I$53,I275)))</xm:f>
            <xm:f>$I$53</xm:f>
            <x14:dxf>
              <fill>
                <patternFill>
                  <bgColor rgb="FF00B0F0"/>
                </patternFill>
              </fill>
            </x14:dxf>
          </x14:cfRule>
          <xm:sqref>I275:I276</xm:sqref>
        </x14:conditionalFormatting>
        <x14:conditionalFormatting xmlns:xm="http://schemas.microsoft.com/office/excel/2006/main">
          <x14:cfRule type="containsText" priority="73" operator="containsText" id="{FF17F5F9-4735-4424-B5DB-F253125BCB49}">
            <xm:f>NOT(ISERROR(SEARCH($I$53,I274)))</xm:f>
            <xm:f>$I$53</xm:f>
            <x14:dxf>
              <fill>
                <patternFill>
                  <bgColor rgb="FF00B0F0"/>
                </patternFill>
              </fill>
            </x14:dxf>
          </x14:cfRule>
          <xm:sqref>I274</xm:sqref>
        </x14:conditionalFormatting>
        <x14:conditionalFormatting xmlns:xm="http://schemas.microsoft.com/office/excel/2006/main">
          <x14:cfRule type="containsText" priority="71" operator="containsText" id="{1FC5D6ED-B1CB-43AB-8158-5AD6E8BA23C1}">
            <xm:f>NOT(ISERROR(SEARCH($I$53,I320)))</xm:f>
            <xm:f>$I$53</xm:f>
            <x14:dxf>
              <fill>
                <patternFill>
                  <bgColor rgb="FF00B0F0"/>
                </patternFill>
              </fill>
            </x14:dxf>
          </x14:cfRule>
          <xm:sqref>I320:I321</xm:sqref>
        </x14:conditionalFormatting>
        <x14:conditionalFormatting xmlns:xm="http://schemas.microsoft.com/office/excel/2006/main">
          <x14:cfRule type="containsText" priority="69" operator="containsText" id="{A4C87B2A-8EDF-4809-9FE8-6D7DC308BAD4}">
            <xm:f>NOT(ISERROR(SEARCH($I$53,I319)))</xm:f>
            <xm:f>$I$53</xm:f>
            <x14:dxf>
              <fill>
                <patternFill>
                  <bgColor rgb="FF00B0F0"/>
                </patternFill>
              </fill>
            </x14:dxf>
          </x14:cfRule>
          <xm:sqref>I319</xm:sqref>
        </x14:conditionalFormatting>
        <x14:conditionalFormatting xmlns:xm="http://schemas.microsoft.com/office/excel/2006/main">
          <x14:cfRule type="containsText" priority="67" operator="containsText" id="{08678CD3-0007-4C3B-A334-65668FDCF697}">
            <xm:f>NOT(ISERROR(SEARCH($I$53,I343)))</xm:f>
            <xm:f>$I$53</xm:f>
            <x14:dxf>
              <fill>
                <patternFill>
                  <bgColor rgb="FF00B0F0"/>
                </patternFill>
              </fill>
            </x14:dxf>
          </x14:cfRule>
          <xm:sqref>I343:I344</xm:sqref>
        </x14:conditionalFormatting>
        <x14:conditionalFormatting xmlns:xm="http://schemas.microsoft.com/office/excel/2006/main">
          <x14:cfRule type="containsText" priority="65" operator="containsText" id="{80A80CDE-3538-4BFF-BC09-11A9BA940BF9}">
            <xm:f>NOT(ISERROR(SEARCH($I$53,I342)))</xm:f>
            <xm:f>$I$53</xm:f>
            <x14:dxf>
              <fill>
                <patternFill>
                  <bgColor rgb="FF00B0F0"/>
                </patternFill>
              </fill>
            </x14:dxf>
          </x14:cfRule>
          <xm:sqref>I342</xm:sqref>
        </x14:conditionalFormatting>
        <x14:conditionalFormatting xmlns:xm="http://schemas.microsoft.com/office/excel/2006/main">
          <x14:cfRule type="containsText" priority="63" operator="containsText" id="{C39115B4-5A94-42DF-ADA1-CCF20C018AB1}">
            <xm:f>NOT(ISERROR(SEARCH($I$53,I455)))</xm:f>
            <xm:f>$I$53</xm:f>
            <x14:dxf>
              <fill>
                <patternFill>
                  <bgColor rgb="FF00B0F0"/>
                </patternFill>
              </fill>
            </x14:dxf>
          </x14:cfRule>
          <xm:sqref>I455:I456</xm:sqref>
        </x14:conditionalFormatting>
        <x14:conditionalFormatting xmlns:xm="http://schemas.microsoft.com/office/excel/2006/main">
          <x14:cfRule type="containsText" priority="61" operator="containsText" id="{81D04870-F9E7-4A25-AADC-42EBB9499710}">
            <xm:f>NOT(ISERROR(SEARCH($I$53,I454)))</xm:f>
            <xm:f>$I$53</xm:f>
            <x14:dxf>
              <fill>
                <patternFill>
                  <bgColor rgb="FF00B0F0"/>
                </patternFill>
              </fill>
            </x14:dxf>
          </x14:cfRule>
          <xm:sqref>I454</xm:sqref>
        </x14:conditionalFormatting>
        <x14:conditionalFormatting xmlns:xm="http://schemas.microsoft.com/office/excel/2006/main">
          <x14:cfRule type="containsText" priority="57" operator="containsText" id="{AF79A06D-8586-4586-8767-ADB026B8EE1F}">
            <xm:f>NOT(ISERROR(SEARCH($I$53,I541)))</xm:f>
            <xm:f>$I$53</xm:f>
            <x14:dxf>
              <fill>
                <patternFill>
                  <bgColor rgb="FF00B0F0"/>
                </patternFill>
              </fill>
            </x14:dxf>
          </x14:cfRule>
          <xm:sqref>I541</xm:sqref>
        </x14:conditionalFormatting>
        <x14:conditionalFormatting xmlns:xm="http://schemas.microsoft.com/office/excel/2006/main">
          <x14:cfRule type="containsText" priority="53" operator="containsText" id="{BD6EE4E5-3871-4D61-8AD7-21F01D4D268A}">
            <xm:f>NOT(ISERROR(SEARCH($I$53,F116)))</xm:f>
            <xm:f>$I$53</xm:f>
            <x14:dxf>
              <fill>
                <patternFill>
                  <bgColor rgb="FF00B0F0"/>
                </patternFill>
              </fill>
            </x14:dxf>
          </x14:cfRule>
          <xm:sqref>F116</xm:sqref>
        </x14:conditionalFormatting>
        <x14:conditionalFormatting xmlns:xm="http://schemas.microsoft.com/office/excel/2006/main">
          <x14:cfRule type="containsText" priority="59" operator="containsText" id="{9903808C-30BB-45FC-90C3-8AC6FA31F2FF}">
            <xm:f>NOT(ISERROR(SEARCH($I$53,I542)))</xm:f>
            <xm:f>$I$53</xm:f>
            <x14:dxf>
              <fill>
                <patternFill>
                  <bgColor rgb="FF00B0F0"/>
                </patternFill>
              </fill>
            </x14:dxf>
          </x14:cfRule>
          <xm:sqref>I542</xm:sqref>
        </x14:conditionalFormatting>
        <x14:conditionalFormatting xmlns:xm="http://schemas.microsoft.com/office/excel/2006/main">
          <x14:cfRule type="containsText" priority="33" operator="containsText" id="{20A94304-FD4D-427E-8CB1-2C0762920CE3}">
            <xm:f>NOT(ISERROR(SEARCH($I$53,F408)))</xm:f>
            <xm:f>$I$53</xm:f>
            <x14:dxf>
              <fill>
                <patternFill>
                  <bgColor rgb="FF00B0F0"/>
                </patternFill>
              </fill>
            </x14:dxf>
          </x14:cfRule>
          <xm:sqref>F408</xm:sqref>
        </x14:conditionalFormatting>
        <x14:conditionalFormatting xmlns:xm="http://schemas.microsoft.com/office/excel/2006/main">
          <x14:cfRule type="containsText" priority="55" operator="containsText" id="{3EB74FF2-C262-40E2-BA66-EC7EFA2826E3}">
            <xm:f>NOT(ISERROR(SEARCH($I$53,F115)))</xm:f>
            <xm:f>$I$53</xm:f>
            <x14:dxf>
              <fill>
                <patternFill>
                  <bgColor rgb="FF00B0F0"/>
                </patternFill>
              </fill>
            </x14:dxf>
          </x14:cfRule>
          <xm:sqref>F115</xm:sqref>
        </x14:conditionalFormatting>
        <x14:conditionalFormatting xmlns:xm="http://schemas.microsoft.com/office/excel/2006/main">
          <x14:cfRule type="containsText" priority="29" operator="containsText" id="{754CA5CC-5890-49DF-AD8F-9562F4C492FD}">
            <xm:f>NOT(ISERROR(SEARCH($I$53,F475)))</xm:f>
            <xm:f>$I$53</xm:f>
            <x14:dxf>
              <fill>
                <patternFill>
                  <bgColor rgb="FF00B0F0"/>
                </patternFill>
              </fill>
            </x14:dxf>
          </x14:cfRule>
          <xm:sqref>F475</xm:sqref>
        </x14:conditionalFormatting>
        <x14:conditionalFormatting xmlns:xm="http://schemas.microsoft.com/office/excel/2006/main">
          <x14:cfRule type="containsText" priority="49" operator="containsText" id="{A80297D2-294E-4D2A-9730-0D27C688D64E}">
            <xm:f>NOT(ISERROR(SEARCH($I$53,F207)))</xm:f>
            <xm:f>$I$53</xm:f>
            <x14:dxf>
              <fill>
                <patternFill>
                  <bgColor rgb="FF00B0F0"/>
                </patternFill>
              </fill>
            </x14:dxf>
          </x14:cfRule>
          <xm:sqref>F207</xm:sqref>
        </x14:conditionalFormatting>
        <x14:conditionalFormatting xmlns:xm="http://schemas.microsoft.com/office/excel/2006/main">
          <x14:cfRule type="containsText" priority="51" operator="containsText" id="{E93F0051-EDD6-4FEB-BBE0-8DF0A66C37FB}">
            <xm:f>NOT(ISERROR(SEARCH($I$53,F206)))</xm:f>
            <xm:f>$I$53</xm:f>
            <x14:dxf>
              <fill>
                <patternFill>
                  <bgColor rgb="FF00B0F0"/>
                </patternFill>
              </fill>
            </x14:dxf>
          </x14:cfRule>
          <xm:sqref>F206</xm:sqref>
        </x14:conditionalFormatting>
        <x14:conditionalFormatting xmlns:xm="http://schemas.microsoft.com/office/excel/2006/main">
          <x14:cfRule type="containsText" priority="45" operator="containsText" id="{C957472F-A98B-451A-94D3-B386E0623B3E}">
            <xm:f>NOT(ISERROR(SEARCH($I$53,F295)))</xm:f>
            <xm:f>$I$53</xm:f>
            <x14:dxf>
              <fill>
                <patternFill>
                  <bgColor rgb="FF00B0F0"/>
                </patternFill>
              </fill>
            </x14:dxf>
          </x14:cfRule>
          <xm:sqref>F295</xm:sqref>
        </x14:conditionalFormatting>
        <x14:conditionalFormatting xmlns:xm="http://schemas.microsoft.com/office/excel/2006/main">
          <x14:cfRule type="containsText" priority="47" operator="containsText" id="{BA897433-9BCF-4EC5-B290-582A268E85F7}">
            <xm:f>NOT(ISERROR(SEARCH($I$53,F294)))</xm:f>
            <xm:f>$I$53</xm:f>
            <x14:dxf>
              <fill>
                <patternFill>
                  <bgColor rgb="FF00B0F0"/>
                </patternFill>
              </fill>
            </x14:dxf>
          </x14:cfRule>
          <xm:sqref>F294</xm:sqref>
        </x14:conditionalFormatting>
        <x14:conditionalFormatting xmlns:xm="http://schemas.microsoft.com/office/excel/2006/main">
          <x14:cfRule type="containsText" priority="41" operator="containsText" id="{CF8FC6F9-BBB6-4D25-B408-AE97F8063528}">
            <xm:f>NOT(ISERROR(SEARCH($I$53,F362)))</xm:f>
            <xm:f>$I$53</xm:f>
            <x14:dxf>
              <fill>
                <patternFill>
                  <bgColor rgb="FF00B0F0"/>
                </patternFill>
              </fill>
            </x14:dxf>
          </x14:cfRule>
          <xm:sqref>F362</xm:sqref>
        </x14:conditionalFormatting>
        <x14:conditionalFormatting xmlns:xm="http://schemas.microsoft.com/office/excel/2006/main">
          <x14:cfRule type="containsText" priority="43" operator="containsText" id="{6DE077AF-2F3F-4CBA-886F-D5E49B9FA98C}">
            <xm:f>NOT(ISERROR(SEARCH($I$53,F361)))</xm:f>
            <xm:f>$I$53</xm:f>
            <x14:dxf>
              <fill>
                <patternFill>
                  <bgColor rgb="FF00B0F0"/>
                </patternFill>
              </fill>
            </x14:dxf>
          </x14:cfRule>
          <xm:sqref>F361</xm:sqref>
        </x14:conditionalFormatting>
        <x14:conditionalFormatting xmlns:xm="http://schemas.microsoft.com/office/excel/2006/main">
          <x14:cfRule type="containsText" priority="37" operator="containsText" id="{FEB82D72-3D2F-4B75-A5BF-FEBA6837D6F4}">
            <xm:f>NOT(ISERROR(SEARCH($I$53,F386)))</xm:f>
            <xm:f>$I$53</xm:f>
            <x14:dxf>
              <fill>
                <patternFill>
                  <bgColor rgb="FF00B0F0"/>
                </patternFill>
              </fill>
            </x14:dxf>
          </x14:cfRule>
          <xm:sqref>F386</xm:sqref>
        </x14:conditionalFormatting>
        <x14:conditionalFormatting xmlns:xm="http://schemas.microsoft.com/office/excel/2006/main">
          <x14:cfRule type="containsText" priority="39" operator="containsText" id="{2060A1E5-D3C1-4B18-80B1-2FB73608BB86}">
            <xm:f>NOT(ISERROR(SEARCH($I$53,F385)))</xm:f>
            <xm:f>$I$53</xm:f>
            <x14:dxf>
              <fill>
                <patternFill>
                  <bgColor rgb="FF00B0F0"/>
                </patternFill>
              </fill>
            </x14:dxf>
          </x14:cfRule>
          <xm:sqref>F385</xm:sqref>
        </x14:conditionalFormatting>
        <x14:conditionalFormatting xmlns:xm="http://schemas.microsoft.com/office/excel/2006/main">
          <x14:cfRule type="containsText" priority="25" operator="containsText" id="{3CBB8AFC-3A66-4101-BE56-4CA2E04C5A7F}">
            <xm:f>NOT(ISERROR(SEARCH($I$53,F497)))</xm:f>
            <xm:f>$I$53</xm:f>
            <x14:dxf>
              <fill>
                <patternFill>
                  <bgColor rgb="FF00B0F0"/>
                </patternFill>
              </fill>
            </x14:dxf>
          </x14:cfRule>
          <xm:sqref>F497</xm:sqref>
        </x14:conditionalFormatting>
        <x14:conditionalFormatting xmlns:xm="http://schemas.microsoft.com/office/excel/2006/main">
          <x14:cfRule type="containsText" priority="35" operator="containsText" id="{89B626C1-1897-4376-8D05-048BED7C171C}">
            <xm:f>NOT(ISERROR(SEARCH($I$53,F407)))</xm:f>
            <xm:f>$I$53</xm:f>
            <x14:dxf>
              <fill>
                <patternFill>
                  <bgColor rgb="FF00B0F0"/>
                </patternFill>
              </fill>
            </x14:dxf>
          </x14:cfRule>
          <xm:sqref>F407</xm:sqref>
        </x14:conditionalFormatting>
        <x14:conditionalFormatting xmlns:xm="http://schemas.microsoft.com/office/excel/2006/main">
          <x14:cfRule type="containsText" priority="13" operator="containsText" id="{EE804856-8B0B-4D76-ADC6-401973B720C4}">
            <xm:f>NOT(ISERROR(SEARCH($I$53,F582)))</xm:f>
            <xm:f>$I$53</xm:f>
            <x14:dxf>
              <fill>
                <patternFill>
                  <bgColor rgb="FF00B0F0"/>
                </patternFill>
              </fill>
            </x14:dxf>
          </x14:cfRule>
          <xm:sqref>F582</xm:sqref>
        </x14:conditionalFormatting>
        <x14:conditionalFormatting xmlns:xm="http://schemas.microsoft.com/office/excel/2006/main">
          <x14:cfRule type="containsText" priority="31" operator="containsText" id="{F4EF2065-2A12-4497-8685-B8C09E7C0143}">
            <xm:f>NOT(ISERROR(SEARCH($I$53,F474)))</xm:f>
            <xm:f>$I$53</xm:f>
            <x14:dxf>
              <fill>
                <patternFill>
                  <bgColor rgb="FF00B0F0"/>
                </patternFill>
              </fill>
            </x14:dxf>
          </x14:cfRule>
          <xm:sqref>F474</xm:sqref>
        </x14:conditionalFormatting>
        <x14:conditionalFormatting xmlns:xm="http://schemas.microsoft.com/office/excel/2006/main">
          <x14:cfRule type="containsText" priority="9" operator="containsText" id="{95200EF7-CECD-47A3-B643-A39E1D13EBF9}">
            <xm:f>NOT(ISERROR(SEARCH($I$53,F430)))</xm:f>
            <xm:f>$I$53</xm:f>
            <x14:dxf>
              <fill>
                <patternFill>
                  <bgColor rgb="FF00B0F0"/>
                </patternFill>
              </fill>
            </x14:dxf>
          </x14:cfRule>
          <xm:sqref>F430</xm:sqref>
        </x14:conditionalFormatting>
        <x14:conditionalFormatting xmlns:xm="http://schemas.microsoft.com/office/excel/2006/main">
          <x14:cfRule type="containsText" priority="27" operator="containsText" id="{65997276-3086-4F73-BC9B-4431DC78B411}">
            <xm:f>NOT(ISERROR(SEARCH($I$53,F496)))</xm:f>
            <xm:f>$I$53</xm:f>
            <x14:dxf>
              <fill>
                <patternFill>
                  <bgColor rgb="FF00B0F0"/>
                </patternFill>
              </fill>
            </x14:dxf>
          </x14:cfRule>
          <xm:sqref>F496</xm:sqref>
        </x14:conditionalFormatting>
        <x14:conditionalFormatting xmlns:xm="http://schemas.microsoft.com/office/excel/2006/main">
          <x14:cfRule type="containsText" priority="21" operator="containsText" id="{AE222319-5802-4A4E-A71C-7F5AACF53B22}">
            <xm:f>NOT(ISERROR(SEARCH($I$53,F518)))</xm:f>
            <xm:f>$I$53</xm:f>
            <x14:dxf>
              <fill>
                <patternFill>
                  <bgColor rgb="FF00B0F0"/>
                </patternFill>
              </fill>
            </x14:dxf>
          </x14:cfRule>
          <xm:sqref>F518</xm:sqref>
        </x14:conditionalFormatting>
        <x14:conditionalFormatting xmlns:xm="http://schemas.microsoft.com/office/excel/2006/main">
          <x14:cfRule type="containsText" priority="23" operator="containsText" id="{4A1440B6-E239-4222-A9BC-E85227F96F11}">
            <xm:f>NOT(ISERROR(SEARCH($I$53,F517)))</xm:f>
            <xm:f>$I$53</xm:f>
            <x14:dxf>
              <fill>
                <patternFill>
                  <bgColor rgb="FF00B0F0"/>
                </patternFill>
              </fill>
            </x14:dxf>
          </x14:cfRule>
          <xm:sqref>F517</xm:sqref>
        </x14:conditionalFormatting>
        <x14:conditionalFormatting xmlns:xm="http://schemas.microsoft.com/office/excel/2006/main">
          <x14:cfRule type="containsText" priority="17" operator="containsText" id="{CD43A95A-538F-4F7D-81AF-9A2F23062342}">
            <xm:f>NOT(ISERROR(SEARCH($I$53,F561)))</xm:f>
            <xm:f>$I$53</xm:f>
            <x14:dxf>
              <fill>
                <patternFill>
                  <bgColor rgb="FF00B0F0"/>
                </patternFill>
              </fill>
            </x14:dxf>
          </x14:cfRule>
          <xm:sqref>F561</xm:sqref>
        </x14:conditionalFormatting>
        <x14:conditionalFormatting xmlns:xm="http://schemas.microsoft.com/office/excel/2006/main">
          <x14:cfRule type="containsText" priority="19" operator="containsText" id="{D18B9461-1CA8-4AB6-A196-D1C62035425F}">
            <xm:f>NOT(ISERROR(SEARCH($I$53,F560)))</xm:f>
            <xm:f>$I$53</xm:f>
            <x14:dxf>
              <fill>
                <patternFill>
                  <bgColor rgb="FF00B0F0"/>
                </patternFill>
              </fill>
            </x14:dxf>
          </x14:cfRule>
          <xm:sqref>F560</xm:sqref>
        </x14:conditionalFormatting>
        <x14:conditionalFormatting xmlns:xm="http://schemas.microsoft.com/office/excel/2006/main">
          <x14:cfRule type="containsText" priority="15" operator="containsText" id="{910B1C56-889A-4552-98AF-765633D138DE}">
            <xm:f>NOT(ISERROR(SEARCH($I$53,F581)))</xm:f>
            <xm:f>$I$53</xm:f>
            <x14:dxf>
              <fill>
                <patternFill>
                  <bgColor rgb="FF00B0F0"/>
                </patternFill>
              </fill>
            </x14:dxf>
          </x14:cfRule>
          <xm:sqref>F581</xm:sqref>
        </x14:conditionalFormatting>
        <x14:conditionalFormatting xmlns:xm="http://schemas.microsoft.com/office/excel/2006/main">
          <x14:cfRule type="containsText" priority="11" operator="containsText" id="{3C32D6A4-4D1A-4CE0-BFD2-61AB2C8961C2}">
            <xm:f>NOT(ISERROR(SEARCH($I$53,F429)))</xm:f>
            <xm:f>$I$53</xm:f>
            <x14:dxf>
              <fill>
                <patternFill>
                  <bgColor rgb="FF00B0F0"/>
                </patternFill>
              </fill>
            </x14:dxf>
          </x14:cfRule>
          <xm:sqref>F429</xm:sqref>
        </x14:conditionalFormatting>
        <x14:conditionalFormatting xmlns:xm="http://schemas.microsoft.com/office/excel/2006/main">
          <x14:cfRule type="containsText" priority="7" operator="containsText" id="{062EC718-538D-4284-8FC7-BB279EADAF18}">
            <xm:f>NOT(ISERROR(SEARCH($I$313,I232)))</xm:f>
            <xm:f>$I$313</xm:f>
            <x14:dxf>
              <fill>
                <patternFill>
                  <bgColor rgb="FF00B0F0"/>
                </patternFill>
              </fill>
            </x14:dxf>
          </x14:cfRule>
          <xm:sqref>I232:I234</xm:sqref>
        </x14:conditionalFormatting>
        <x14:conditionalFormatting xmlns:xm="http://schemas.microsoft.com/office/excel/2006/main">
          <x14:cfRule type="containsText" priority="5" operator="containsText" id="{9A4E4882-5166-4F26-931B-349CD9876DA8}">
            <xm:f>NOT(ISERROR(SEARCH($I$313,I231)))</xm:f>
            <xm:f>$I$313</xm:f>
            <x14:dxf>
              <fill>
                <patternFill>
                  <bgColor rgb="FF00B0F0"/>
                </patternFill>
              </fill>
            </x14:dxf>
          </x14:cfRule>
          <xm:sqref>I231</xm:sqref>
        </x14:conditionalFormatting>
        <x14:conditionalFormatting xmlns:xm="http://schemas.microsoft.com/office/excel/2006/main">
          <x14:cfRule type="containsText" priority="1" operator="containsText" id="{75D5E881-1055-49F5-A3B0-A1EA74D4137B}">
            <xm:f>NOT(ISERROR(SEARCH($I$294,F251)))</xm:f>
            <xm:f>$I$294</xm:f>
            <x14:dxf>
              <fill>
                <patternFill>
                  <bgColor rgb="FF00B0F0"/>
                </patternFill>
              </fill>
            </x14:dxf>
          </x14:cfRule>
          <xm:sqref>F251</xm:sqref>
        </x14:conditionalFormatting>
        <x14:conditionalFormatting xmlns:xm="http://schemas.microsoft.com/office/excel/2006/main">
          <x14:cfRule type="containsText" priority="3" operator="containsText" id="{91E29A40-355F-43F6-9E22-9E6CEEA87C7C}">
            <xm:f>NOT(ISERROR(SEARCH($I$294,F250)))</xm:f>
            <xm:f>$I$294</xm:f>
            <x14:dxf>
              <fill>
                <patternFill>
                  <bgColor rgb="FF00B0F0"/>
                </patternFill>
              </fill>
            </x14:dxf>
          </x14:cfRule>
          <xm:sqref>F250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00"/>
  </sheetPr>
  <dimension ref="A2:K180"/>
  <sheetViews>
    <sheetView topLeftCell="A47" zoomScale="64" zoomScaleNormal="64" workbookViewId="0">
      <selection activeCell="K88" sqref="K88"/>
    </sheetView>
  </sheetViews>
  <sheetFormatPr baseColWidth="10" defaultRowHeight="14.4" x14ac:dyDescent="0.3"/>
  <cols>
    <col min="1" max="1" width="29.109375" bestFit="1" customWidth="1"/>
    <col min="2" max="2" width="19.109375" customWidth="1"/>
    <col min="3" max="3" width="13.44140625" bestFit="1" customWidth="1"/>
    <col min="4" max="4" width="12.5546875" customWidth="1"/>
    <col min="5" max="5" width="17" customWidth="1"/>
    <col min="6" max="6" width="14.6640625" customWidth="1"/>
    <col min="7" max="8" width="19.6640625" customWidth="1"/>
    <col min="13" max="13" width="14.109375" customWidth="1"/>
  </cols>
  <sheetData>
    <row r="2" spans="1:3" ht="18" x14ac:dyDescent="0.35">
      <c r="A2" s="10" t="s">
        <v>76</v>
      </c>
    </row>
    <row r="4" spans="1:3" x14ac:dyDescent="0.3">
      <c r="A4" s="29" t="s">
        <v>1</v>
      </c>
      <c r="B4" s="45" t="s">
        <v>16</v>
      </c>
      <c r="C4" s="46"/>
    </row>
    <row r="5" spans="1:3" x14ac:dyDescent="0.3">
      <c r="A5" s="7" t="s">
        <v>0</v>
      </c>
      <c r="B5" s="2">
        <v>76.27</v>
      </c>
      <c r="C5" s="2" t="s">
        <v>14</v>
      </c>
    </row>
    <row r="6" spans="1:3" x14ac:dyDescent="0.3">
      <c r="A6" s="7" t="s">
        <v>2</v>
      </c>
      <c r="B6" s="2">
        <v>334.08</v>
      </c>
      <c r="C6" s="2" t="s">
        <v>14</v>
      </c>
    </row>
    <row r="7" spans="1:3" x14ac:dyDescent="0.3">
      <c r="A7" s="7" t="s">
        <v>3</v>
      </c>
      <c r="B7" s="2">
        <v>47.84</v>
      </c>
      <c r="C7" s="2" t="s">
        <v>14</v>
      </c>
    </row>
    <row r="8" spans="1:3" x14ac:dyDescent="0.3">
      <c r="A8" s="7" t="s">
        <v>4</v>
      </c>
      <c r="B8" s="2">
        <v>359.24</v>
      </c>
      <c r="C8" s="2" t="s">
        <v>14</v>
      </c>
    </row>
    <row r="9" spans="1:3" x14ac:dyDescent="0.3">
      <c r="A9" s="7" t="s">
        <v>5</v>
      </c>
      <c r="B9" s="2">
        <v>404.48</v>
      </c>
      <c r="C9" s="2" t="s">
        <v>14</v>
      </c>
    </row>
    <row r="10" spans="1:3" x14ac:dyDescent="0.3">
      <c r="A10" s="7" t="s">
        <v>6</v>
      </c>
      <c r="B10" s="2">
        <v>219.73</v>
      </c>
      <c r="C10" s="2" t="s">
        <v>14</v>
      </c>
    </row>
    <row r="11" spans="1:3" x14ac:dyDescent="0.3">
      <c r="A11" s="7" t="s">
        <v>7</v>
      </c>
      <c r="B11" s="2">
        <v>47.95</v>
      </c>
      <c r="C11" s="2" t="s">
        <v>14</v>
      </c>
    </row>
    <row r="12" spans="1:3" x14ac:dyDescent="0.3">
      <c r="A12" s="7" t="s">
        <v>8</v>
      </c>
      <c r="B12" s="2">
        <v>212.74</v>
      </c>
      <c r="C12" s="2" t="s">
        <v>14</v>
      </c>
    </row>
    <row r="13" spans="1:3" x14ac:dyDescent="0.3">
      <c r="A13" s="7" t="s">
        <v>9</v>
      </c>
      <c r="B13" s="2">
        <v>128.44</v>
      </c>
      <c r="C13" s="2" t="s">
        <v>14</v>
      </c>
    </row>
    <row r="14" spans="1:3" x14ac:dyDescent="0.3">
      <c r="A14" s="7" t="s">
        <v>10</v>
      </c>
      <c r="B14" s="2">
        <v>334.08</v>
      </c>
      <c r="C14" s="2" t="s">
        <v>14</v>
      </c>
    </row>
    <row r="15" spans="1:3" x14ac:dyDescent="0.3">
      <c r="A15" s="7" t="s">
        <v>11</v>
      </c>
      <c r="B15" s="2">
        <v>147.75</v>
      </c>
      <c r="C15" s="2" t="s">
        <v>14</v>
      </c>
    </row>
    <row r="18" spans="1:8" x14ac:dyDescent="0.3">
      <c r="A18" s="1" t="s">
        <v>21</v>
      </c>
    </row>
    <row r="20" spans="1:8" x14ac:dyDescent="0.3">
      <c r="B20" s="2" t="s">
        <v>20</v>
      </c>
      <c r="C20" s="2" t="s">
        <v>13</v>
      </c>
      <c r="D20" s="2" t="s">
        <v>17</v>
      </c>
      <c r="E20" s="2" t="s">
        <v>22</v>
      </c>
      <c r="F20" s="2" t="s">
        <v>18</v>
      </c>
      <c r="G20" s="2" t="s">
        <v>19</v>
      </c>
      <c r="H20" s="11"/>
    </row>
    <row r="21" spans="1:8" x14ac:dyDescent="0.3">
      <c r="A21" s="7" t="s">
        <v>12</v>
      </c>
      <c r="B21" s="2">
        <f>+$B$5/10000</f>
        <v>7.6269999999999992E-3</v>
      </c>
      <c r="C21" s="2">
        <v>0.97</v>
      </c>
      <c r="D21" s="2">
        <v>100</v>
      </c>
      <c r="E21" s="2">
        <v>1</v>
      </c>
      <c r="F21" s="6">
        <f t="shared" ref="F21:F31" si="0">+B21*C21*D21/360</f>
        <v>2.0550527777777774E-3</v>
      </c>
      <c r="G21" s="6">
        <f t="shared" ref="G21:G31" si="1">+F21/E21</f>
        <v>2.0550527777777774E-3</v>
      </c>
      <c r="H21" s="12"/>
    </row>
    <row r="22" spans="1:8" x14ac:dyDescent="0.3">
      <c r="A22" s="7" t="s">
        <v>23</v>
      </c>
      <c r="B22" s="2">
        <f>+$B$6/10000</f>
        <v>3.3408E-2</v>
      </c>
      <c r="C22" s="2">
        <v>0.97</v>
      </c>
      <c r="D22" s="2">
        <v>100</v>
      </c>
      <c r="E22" s="2">
        <v>7</v>
      </c>
      <c r="F22" s="6">
        <f t="shared" si="0"/>
        <v>9.0016000000000002E-3</v>
      </c>
      <c r="G22" s="6">
        <f t="shared" si="1"/>
        <v>1.2859428571428571E-3</v>
      </c>
      <c r="H22" s="12"/>
    </row>
    <row r="23" spans="1:8" x14ac:dyDescent="0.3">
      <c r="A23" s="7" t="s">
        <v>24</v>
      </c>
      <c r="B23" s="2">
        <f>+$B$7/10000</f>
        <v>4.7840000000000001E-3</v>
      </c>
      <c r="C23" s="2">
        <v>0.97</v>
      </c>
      <c r="D23" s="2">
        <v>100</v>
      </c>
      <c r="E23" s="2">
        <v>1</v>
      </c>
      <c r="F23" s="6">
        <f t="shared" si="0"/>
        <v>1.2890222222222221E-3</v>
      </c>
      <c r="G23" s="6">
        <f t="shared" si="1"/>
        <v>1.2890222222222221E-3</v>
      </c>
      <c r="H23" s="12"/>
    </row>
    <row r="24" spans="1:8" x14ac:dyDescent="0.3">
      <c r="A24" s="7" t="s">
        <v>25</v>
      </c>
      <c r="B24" s="2">
        <f>+$B$8/10000</f>
        <v>3.5923999999999998E-2</v>
      </c>
      <c r="C24" s="2">
        <v>0.97</v>
      </c>
      <c r="D24" s="2">
        <v>100</v>
      </c>
      <c r="E24" s="2">
        <v>3</v>
      </c>
      <c r="F24" s="6">
        <f t="shared" si="0"/>
        <v>9.679522222222221E-3</v>
      </c>
      <c r="G24" s="6">
        <f t="shared" si="1"/>
        <v>3.2265074074074068E-3</v>
      </c>
      <c r="H24" s="12"/>
    </row>
    <row r="25" spans="1:8" x14ac:dyDescent="0.3">
      <c r="A25" s="7" t="s">
        <v>26</v>
      </c>
      <c r="B25" s="2">
        <f>+$B$9/10000</f>
        <v>4.0448000000000005E-2</v>
      </c>
      <c r="C25" s="2">
        <v>0.97</v>
      </c>
      <c r="D25" s="2">
        <v>100</v>
      </c>
      <c r="E25" s="2">
        <v>5</v>
      </c>
      <c r="F25" s="6">
        <f t="shared" si="0"/>
        <v>1.0898488888888889E-2</v>
      </c>
      <c r="G25" s="6">
        <f t="shared" si="1"/>
        <v>2.1796977777777779E-3</v>
      </c>
      <c r="H25" s="12"/>
    </row>
    <row r="26" spans="1:8" x14ac:dyDescent="0.3">
      <c r="A26" s="7" t="s">
        <v>27</v>
      </c>
      <c r="B26" s="2">
        <f>+$B$10/10000</f>
        <v>2.1972999999999999E-2</v>
      </c>
      <c r="C26" s="2">
        <v>0.97</v>
      </c>
      <c r="D26" s="2">
        <v>100</v>
      </c>
      <c r="E26" s="2">
        <v>5</v>
      </c>
      <c r="F26" s="6">
        <f t="shared" si="0"/>
        <v>5.9205027777777773E-3</v>
      </c>
      <c r="G26" s="6">
        <f t="shared" si="1"/>
        <v>1.1841005555555555E-3</v>
      </c>
      <c r="H26" s="12"/>
    </row>
    <row r="27" spans="1:8" x14ac:dyDescent="0.3">
      <c r="A27" s="7" t="s">
        <v>28</v>
      </c>
      <c r="B27" s="2">
        <f>+$B$11/10000</f>
        <v>4.7950000000000007E-3</v>
      </c>
      <c r="C27" s="2">
        <v>0.97</v>
      </c>
      <c r="D27" s="2">
        <v>100</v>
      </c>
      <c r="E27" s="2">
        <v>1</v>
      </c>
      <c r="F27" s="6">
        <f t="shared" si="0"/>
        <v>1.2919861111111114E-3</v>
      </c>
      <c r="G27" s="6">
        <f t="shared" si="1"/>
        <v>1.2919861111111114E-3</v>
      </c>
      <c r="H27" s="12"/>
    </row>
    <row r="28" spans="1:8" x14ac:dyDescent="0.3">
      <c r="A28" s="7" t="s">
        <v>29</v>
      </c>
      <c r="B28" s="2">
        <f>+$B$12/10000</f>
        <v>2.1274000000000001E-2</v>
      </c>
      <c r="C28" s="2">
        <v>0.97</v>
      </c>
      <c r="D28" s="2">
        <v>100</v>
      </c>
      <c r="E28" s="2">
        <v>5</v>
      </c>
      <c r="F28" s="6">
        <f t="shared" si="0"/>
        <v>5.7321611111111111E-3</v>
      </c>
      <c r="G28" s="6">
        <f t="shared" si="1"/>
        <v>1.1464322222222221E-3</v>
      </c>
      <c r="H28" s="12"/>
    </row>
    <row r="29" spans="1:8" x14ac:dyDescent="0.3">
      <c r="A29" s="7" t="s">
        <v>30</v>
      </c>
      <c r="B29" s="2">
        <f>+$B$13/10000</f>
        <v>1.2844E-2</v>
      </c>
      <c r="C29" s="2">
        <v>0.97</v>
      </c>
      <c r="D29" s="2">
        <v>100</v>
      </c>
      <c r="E29" s="2">
        <v>2</v>
      </c>
      <c r="F29" s="6">
        <f t="shared" si="0"/>
        <v>3.4607444444444443E-3</v>
      </c>
      <c r="G29" s="6">
        <f t="shared" si="1"/>
        <v>1.7303722222222222E-3</v>
      </c>
      <c r="H29" s="12"/>
    </row>
    <row r="30" spans="1:8" x14ac:dyDescent="0.3">
      <c r="A30" s="7" t="s">
        <v>31</v>
      </c>
      <c r="B30" s="2">
        <f>+$B$14/10000</f>
        <v>3.3408E-2</v>
      </c>
      <c r="C30" s="2">
        <v>0.97</v>
      </c>
      <c r="D30" s="2">
        <v>100</v>
      </c>
      <c r="E30" s="2">
        <v>7</v>
      </c>
      <c r="F30" s="6">
        <f t="shared" si="0"/>
        <v>9.0016000000000002E-3</v>
      </c>
      <c r="G30" s="6">
        <f t="shared" si="1"/>
        <v>1.2859428571428571E-3</v>
      </c>
      <c r="H30" s="12"/>
    </row>
    <row r="31" spans="1:8" x14ac:dyDescent="0.3">
      <c r="A31" s="7" t="s">
        <v>32</v>
      </c>
      <c r="B31" s="2">
        <f>+$B$15/10000</f>
        <v>1.4775E-2</v>
      </c>
      <c r="C31" s="2">
        <v>0.97</v>
      </c>
      <c r="D31" s="2">
        <v>100</v>
      </c>
      <c r="E31" s="2">
        <v>2</v>
      </c>
      <c r="F31" s="6">
        <f t="shared" si="0"/>
        <v>3.9810416666666666E-3</v>
      </c>
      <c r="G31" s="6">
        <f t="shared" si="1"/>
        <v>1.9905208333333333E-3</v>
      </c>
      <c r="H31" s="12"/>
    </row>
    <row r="32" spans="1:8" x14ac:dyDescent="0.3">
      <c r="E32" s="30" t="s">
        <v>95</v>
      </c>
      <c r="F32" s="6">
        <f>SUM(F21:F31)</f>
        <v>6.231172222222222E-2</v>
      </c>
    </row>
    <row r="35" spans="1:10" x14ac:dyDescent="0.3">
      <c r="F35" s="1"/>
      <c r="G35" s="1"/>
      <c r="H35" s="1"/>
      <c r="I35" s="1"/>
      <c r="J35" s="1"/>
    </row>
    <row r="36" spans="1:10" ht="18" x14ac:dyDescent="0.35">
      <c r="A36" s="10" t="s">
        <v>156</v>
      </c>
    </row>
    <row r="37" spans="1:10" x14ac:dyDescent="0.3">
      <c r="B37" s="2" t="s">
        <v>20</v>
      </c>
      <c r="C37" s="2" t="s">
        <v>13</v>
      </c>
      <c r="D37" s="2" t="s">
        <v>17</v>
      </c>
      <c r="E37" s="2" t="s">
        <v>22</v>
      </c>
      <c r="F37" s="2" t="s">
        <v>18</v>
      </c>
      <c r="G37" s="2" t="s">
        <v>19</v>
      </c>
      <c r="H37" s="11"/>
    </row>
    <row r="38" spans="1:10" x14ac:dyDescent="0.3">
      <c r="A38" s="2" t="s">
        <v>72</v>
      </c>
      <c r="B38" s="2">
        <f>(163*1.25)/10000</f>
        <v>2.0375000000000001E-2</v>
      </c>
      <c r="C38" s="2">
        <v>0.97</v>
      </c>
      <c r="D38" s="2">
        <v>100</v>
      </c>
      <c r="E38" s="2"/>
      <c r="F38" s="6">
        <f t="shared" ref="F38" si="2">+B38*C38*D38/360</f>
        <v>5.4899305555555552E-3</v>
      </c>
      <c r="G38" s="6"/>
      <c r="H38" s="12"/>
    </row>
    <row r="39" spans="1:10" x14ac:dyDescent="0.3">
      <c r="A39" s="11"/>
      <c r="B39" s="11"/>
      <c r="C39" s="11"/>
      <c r="D39" s="11"/>
      <c r="E39" s="11"/>
      <c r="F39" s="12"/>
      <c r="G39" s="12"/>
      <c r="H39" s="12"/>
    </row>
    <row r="40" spans="1:10" x14ac:dyDescent="0.3">
      <c r="F40" s="2" t="s">
        <v>43</v>
      </c>
      <c r="G40" s="6">
        <f>+F38</f>
        <v>5.4899305555555552E-3</v>
      </c>
      <c r="H40" s="12"/>
    </row>
    <row r="41" spans="1:10" x14ac:dyDescent="0.3">
      <c r="A41" s="1" t="s">
        <v>33</v>
      </c>
      <c r="B41" s="1"/>
      <c r="C41" s="1"/>
    </row>
    <row r="42" spans="1:10" x14ac:dyDescent="0.3">
      <c r="A42" s="5" t="s">
        <v>34</v>
      </c>
      <c r="B42" s="14">
        <f>+G40</f>
        <v>5.4899305555555552E-3</v>
      </c>
      <c r="C42" t="s">
        <v>15</v>
      </c>
    </row>
    <row r="43" spans="1:10" x14ac:dyDescent="0.3">
      <c r="A43" s="5" t="s">
        <v>44</v>
      </c>
      <c r="B43" s="7">
        <v>1.2999999999999999E-2</v>
      </c>
    </row>
    <row r="44" spans="1:10" x14ac:dyDescent="0.3">
      <c r="A44" s="5" t="s">
        <v>35</v>
      </c>
      <c r="B44" s="7">
        <v>0</v>
      </c>
    </row>
    <row r="45" spans="1:10" x14ac:dyDescent="0.3">
      <c r="A45" s="5" t="s">
        <v>36</v>
      </c>
      <c r="B45" s="7">
        <v>0.3</v>
      </c>
      <c r="C45" t="s">
        <v>49</v>
      </c>
    </row>
    <row r="46" spans="1:10" x14ac:dyDescent="0.3">
      <c r="A46" s="5" t="s">
        <v>38</v>
      </c>
      <c r="B46" s="7">
        <v>0.01</v>
      </c>
      <c r="C46" t="s">
        <v>50</v>
      </c>
    </row>
    <row r="47" spans="1:10" x14ac:dyDescent="0.3">
      <c r="A47" s="5" t="s">
        <v>48</v>
      </c>
      <c r="B47" s="7">
        <v>0.56000000000000005</v>
      </c>
      <c r="C47" t="s">
        <v>49</v>
      </c>
      <c r="G47" s="13"/>
      <c r="H47" s="13"/>
    </row>
    <row r="49" spans="1:11" x14ac:dyDescent="0.3">
      <c r="A49" s="8" t="s">
        <v>37</v>
      </c>
      <c r="B49" s="2" t="s">
        <v>38</v>
      </c>
      <c r="C49" s="5" t="s">
        <v>39</v>
      </c>
      <c r="D49" s="5" t="s">
        <v>40</v>
      </c>
      <c r="E49" s="5" t="s">
        <v>41</v>
      </c>
      <c r="F49" s="5" t="s">
        <v>34</v>
      </c>
      <c r="G49" s="17" t="s">
        <v>45</v>
      </c>
      <c r="H49" s="8" t="s">
        <v>60</v>
      </c>
      <c r="I49" s="17" t="s">
        <v>46</v>
      </c>
      <c r="J49" s="8" t="s">
        <v>101</v>
      </c>
      <c r="K49" s="8" t="s">
        <v>96</v>
      </c>
    </row>
    <row r="50" spans="1:11" x14ac:dyDescent="0.3">
      <c r="A50" s="9">
        <v>2.9264974312129252E-2</v>
      </c>
      <c r="B50" s="4">
        <f>+B46</f>
        <v>0.01</v>
      </c>
      <c r="C50" s="2">
        <f>+A50*B45</f>
        <v>8.7794922936387746E-3</v>
      </c>
      <c r="D50" s="2">
        <f>+B45+2*A50</f>
        <v>0.35852994862425847</v>
      </c>
      <c r="E50" s="2">
        <f>C50/D50</f>
        <v>2.4487472601179366E-2</v>
      </c>
      <c r="F50" s="2">
        <f>C50*(E50^(2/3))*(B50^(1/2))/B43</f>
        <v>5.6949339528586706E-3</v>
      </c>
      <c r="G50" s="31">
        <f>ROUND(A50,2)</f>
        <v>0.03</v>
      </c>
      <c r="H50" s="20">
        <f>+ROUND(G50,4)*100</f>
        <v>3</v>
      </c>
      <c r="I50" s="2">
        <f>4/5*B47</f>
        <v>0.44800000000000006</v>
      </c>
      <c r="J50" s="9">
        <f>+(B47-G50)*100</f>
        <v>53</v>
      </c>
      <c r="K50" s="20">
        <f>+B42/C50</f>
        <v>0.62531298757825804</v>
      </c>
    </row>
    <row r="52" spans="1:11" x14ac:dyDescent="0.3">
      <c r="F52" s="1" t="s">
        <v>47</v>
      </c>
      <c r="G52" s="1"/>
      <c r="H52" s="1"/>
      <c r="I52" s="1" t="str">
        <f>IF(G50&lt;I50,"CUMPLE","NO CUMPLE")</f>
        <v>CUMPLE</v>
      </c>
      <c r="J52" s="1"/>
    </row>
    <row r="53" spans="1:11" x14ac:dyDescent="0.3">
      <c r="F53" s="1" t="s">
        <v>97</v>
      </c>
      <c r="G53" s="1"/>
      <c r="I53" s="1" t="str">
        <f>+IF(K50&lt;3,"CUMPLE","Verificar Ancho")</f>
        <v>CUMPLE</v>
      </c>
      <c r="J53" s="1"/>
    </row>
    <row r="55" spans="1:11" ht="18" hidden="1" x14ac:dyDescent="0.35">
      <c r="A55" s="26" t="s">
        <v>92</v>
      </c>
    </row>
    <row r="56" spans="1:11" hidden="1" x14ac:dyDescent="0.3">
      <c r="B56" s="2" t="s">
        <v>20</v>
      </c>
      <c r="C56" s="2" t="s">
        <v>13</v>
      </c>
      <c r="D56" s="2" t="s">
        <v>17</v>
      </c>
      <c r="E56" s="2" t="s">
        <v>22</v>
      </c>
      <c r="F56" s="2" t="s">
        <v>18</v>
      </c>
      <c r="G56" s="2" t="s">
        <v>19</v>
      </c>
      <c r="H56" s="11"/>
    </row>
    <row r="57" spans="1:11" hidden="1" x14ac:dyDescent="0.3">
      <c r="A57" s="7" t="s">
        <v>73</v>
      </c>
      <c r="B57" s="2">
        <f>42/10000</f>
        <v>4.1999999999999997E-3</v>
      </c>
      <c r="C57" s="2">
        <v>0.97</v>
      </c>
      <c r="D57" s="2">
        <v>100</v>
      </c>
      <c r="E57" s="2"/>
      <c r="F57" s="6">
        <f t="shared" ref="F57" si="3">+B57*C57*D57/360</f>
        <v>1.1316666666666665E-3</v>
      </c>
      <c r="G57" s="6"/>
      <c r="H57" s="12"/>
    </row>
    <row r="58" spans="1:11" hidden="1" x14ac:dyDescent="0.3">
      <c r="A58" s="11"/>
      <c r="B58" s="11"/>
      <c r="C58" s="11"/>
      <c r="D58" s="11"/>
      <c r="E58" s="11"/>
      <c r="F58" s="12"/>
      <c r="G58" s="12"/>
      <c r="H58" s="12"/>
    </row>
    <row r="59" spans="1:11" hidden="1" x14ac:dyDescent="0.3">
      <c r="F59" s="2" t="s">
        <v>43</v>
      </c>
      <c r="G59" s="6">
        <f>+F57</f>
        <v>1.1316666666666665E-3</v>
      </c>
      <c r="H59" s="12"/>
    </row>
    <row r="60" spans="1:11" hidden="1" x14ac:dyDescent="0.3">
      <c r="A60" s="1" t="s">
        <v>33</v>
      </c>
      <c r="B60" s="1"/>
      <c r="C60" s="1"/>
    </row>
    <row r="61" spans="1:11" hidden="1" x14ac:dyDescent="0.3">
      <c r="A61" s="5" t="s">
        <v>34</v>
      </c>
      <c r="B61" s="14">
        <f>+G59</f>
        <v>1.1316666666666665E-3</v>
      </c>
      <c r="C61" t="s">
        <v>15</v>
      </c>
    </row>
    <row r="62" spans="1:11" hidden="1" x14ac:dyDescent="0.3">
      <c r="A62" s="5" t="s">
        <v>44</v>
      </c>
      <c r="B62" s="7">
        <v>1.2999999999999999E-2</v>
      </c>
    </row>
    <row r="63" spans="1:11" hidden="1" x14ac:dyDescent="0.3">
      <c r="A63" s="5" t="s">
        <v>35</v>
      </c>
      <c r="B63" s="7">
        <v>0</v>
      </c>
    </row>
    <row r="64" spans="1:11" hidden="1" x14ac:dyDescent="0.3">
      <c r="A64" s="5" t="s">
        <v>36</v>
      </c>
      <c r="B64" s="7">
        <v>0.3</v>
      </c>
      <c r="C64" t="s">
        <v>49</v>
      </c>
    </row>
    <row r="65" spans="1:10" hidden="1" x14ac:dyDescent="0.3">
      <c r="A65" s="5" t="s">
        <v>38</v>
      </c>
      <c r="B65" s="7">
        <v>0.01</v>
      </c>
      <c r="C65" t="s">
        <v>50</v>
      </c>
    </row>
    <row r="66" spans="1:10" hidden="1" x14ac:dyDescent="0.3">
      <c r="A66" s="5" t="s">
        <v>48</v>
      </c>
      <c r="B66" s="7">
        <v>0.3</v>
      </c>
      <c r="C66" t="s">
        <v>49</v>
      </c>
      <c r="G66" s="13"/>
      <c r="H66" s="13"/>
    </row>
    <row r="67" spans="1:10" hidden="1" x14ac:dyDescent="0.3"/>
    <row r="68" spans="1:10" hidden="1" x14ac:dyDescent="0.3">
      <c r="A68" s="8" t="s">
        <v>37</v>
      </c>
      <c r="B68" s="2" t="s">
        <v>38</v>
      </c>
      <c r="C68" s="5" t="s">
        <v>39</v>
      </c>
      <c r="D68" s="5" t="s">
        <v>40</v>
      </c>
      <c r="E68" s="5" t="s">
        <v>41</v>
      </c>
      <c r="F68" s="5" t="s">
        <v>34</v>
      </c>
      <c r="G68" s="8" t="s">
        <v>45</v>
      </c>
      <c r="H68" s="8" t="s">
        <v>60</v>
      </c>
      <c r="I68" s="17" t="s">
        <v>46</v>
      </c>
      <c r="J68" s="33"/>
    </row>
    <row r="69" spans="1:10" hidden="1" x14ac:dyDescent="0.3">
      <c r="A69" s="9">
        <v>1.5021800547145378E-2</v>
      </c>
      <c r="B69" s="4">
        <f>+B65</f>
        <v>0.01</v>
      </c>
      <c r="C69" s="2">
        <f>+A69*B64</f>
        <v>4.5065401641436135E-3</v>
      </c>
      <c r="D69" s="2">
        <f>+B64+2*A69</f>
        <v>0.33004360109429076</v>
      </c>
      <c r="E69" s="2">
        <f>C69/D69</f>
        <v>1.365437823730487E-2</v>
      </c>
      <c r="F69" s="2">
        <f>C69*(E69^(2/3))*(B69^(1/2))/B62</f>
        <v>1.9803768749207533E-3</v>
      </c>
      <c r="G69" s="16">
        <f>ROUND(A69,2)</f>
        <v>0.02</v>
      </c>
      <c r="H69" s="20">
        <f>+ROUND(G69,4)*100</f>
        <v>2</v>
      </c>
      <c r="I69" s="2">
        <f>4/5*B66</f>
        <v>0.24</v>
      </c>
      <c r="J69" s="11"/>
    </row>
    <row r="70" spans="1:10" hidden="1" x14ac:dyDescent="0.3"/>
    <row r="71" spans="1:10" hidden="1" x14ac:dyDescent="0.3">
      <c r="F71" s="1" t="s">
        <v>47</v>
      </c>
      <c r="G71" s="1"/>
      <c r="H71" s="1"/>
      <c r="I71" s="1" t="str">
        <f>IF(G69&lt;I69,"CUMPLE","NO CUMPLE")</f>
        <v>CUMPLE</v>
      </c>
      <c r="J71" s="1"/>
    </row>
    <row r="72" spans="1:10" hidden="1" x14ac:dyDescent="0.3"/>
    <row r="74" spans="1:10" ht="18" x14ac:dyDescent="0.35">
      <c r="A74" s="37" t="s">
        <v>157</v>
      </c>
    </row>
    <row r="75" spans="1:10" x14ac:dyDescent="0.3">
      <c r="B75" s="2" t="s">
        <v>20</v>
      </c>
      <c r="C75" s="2" t="s">
        <v>13</v>
      </c>
      <c r="D75" s="2" t="s">
        <v>17</v>
      </c>
      <c r="E75" s="2" t="s">
        <v>22</v>
      </c>
      <c r="F75" s="2" t="s">
        <v>18</v>
      </c>
      <c r="G75" s="2" t="s">
        <v>19</v>
      </c>
    </row>
    <row r="76" spans="1:10" x14ac:dyDescent="0.3">
      <c r="A76" s="2" t="s">
        <v>54</v>
      </c>
      <c r="B76" s="47"/>
      <c r="C76" s="48"/>
      <c r="D76" s="48"/>
      <c r="E76" s="49"/>
      <c r="F76" s="6">
        <f>+B42</f>
        <v>5.4899305555555552E-3</v>
      </c>
      <c r="G76" s="2"/>
    </row>
    <row r="77" spans="1:10" x14ac:dyDescent="0.3">
      <c r="A77" s="7" t="s">
        <v>73</v>
      </c>
      <c r="B77" s="2">
        <f>(42*1.25)/10000</f>
        <v>5.2500000000000003E-3</v>
      </c>
      <c r="C77" s="2">
        <v>0.97</v>
      </c>
      <c r="D77" s="2">
        <v>100</v>
      </c>
      <c r="E77" s="2"/>
      <c r="F77" s="6">
        <f t="shared" ref="F77" si="4">+B77*C77*D77/360</f>
        <v>1.4145833333333332E-3</v>
      </c>
      <c r="G77" s="6"/>
    </row>
    <row r="78" spans="1:10" x14ac:dyDescent="0.3">
      <c r="A78" s="11"/>
      <c r="B78" s="11"/>
      <c r="C78" s="11"/>
      <c r="D78" s="11"/>
      <c r="E78" s="11"/>
      <c r="F78" s="12"/>
      <c r="G78" s="12"/>
    </row>
    <row r="79" spans="1:10" x14ac:dyDescent="0.3">
      <c r="F79" s="2" t="s">
        <v>43</v>
      </c>
      <c r="G79" s="6">
        <f>+F76+F77</f>
        <v>6.9045138888888889E-3</v>
      </c>
    </row>
    <row r="80" spans="1:10" x14ac:dyDescent="0.3">
      <c r="A80" s="1" t="s">
        <v>71</v>
      </c>
      <c r="B80" s="1"/>
      <c r="C80" s="1"/>
    </row>
    <row r="81" spans="1:8" x14ac:dyDescent="0.3">
      <c r="A81" s="5" t="s">
        <v>66</v>
      </c>
      <c r="B81" s="14">
        <f>+G79</f>
        <v>6.9045138888888889E-3</v>
      </c>
      <c r="C81" t="s">
        <v>15</v>
      </c>
    </row>
    <row r="82" spans="1:8" x14ac:dyDescent="0.3">
      <c r="A82" s="5" t="s">
        <v>56</v>
      </c>
      <c r="B82" s="7">
        <v>0.01</v>
      </c>
    </row>
    <row r="83" spans="1:8" ht="18" x14ac:dyDescent="0.35">
      <c r="A83" s="21" t="s">
        <v>93</v>
      </c>
      <c r="B83" s="15">
        <f>180*PI()/180</f>
        <v>3.1415926535897931</v>
      </c>
      <c r="C83" t="s">
        <v>58</v>
      </c>
    </row>
    <row r="84" spans="1:8" x14ac:dyDescent="0.3">
      <c r="A84" s="5" t="s">
        <v>38</v>
      </c>
      <c r="B84" s="7">
        <v>5.2600000000000001E-2</v>
      </c>
      <c r="C84" t="s">
        <v>50</v>
      </c>
    </row>
    <row r="85" spans="1:8" x14ac:dyDescent="0.3">
      <c r="A85" s="23" t="s">
        <v>57</v>
      </c>
      <c r="B85" s="22">
        <v>6</v>
      </c>
      <c r="C85" t="s">
        <v>65</v>
      </c>
      <c r="G85" s="13"/>
    </row>
    <row r="87" spans="1:8" x14ac:dyDescent="0.3">
      <c r="A87" s="8" t="s">
        <v>57</v>
      </c>
      <c r="B87" s="2" t="s">
        <v>38</v>
      </c>
      <c r="C87" s="5" t="s">
        <v>39</v>
      </c>
      <c r="D87" s="5" t="s">
        <v>40</v>
      </c>
      <c r="E87" s="5" t="s">
        <v>41</v>
      </c>
      <c r="F87" s="8" t="s">
        <v>99</v>
      </c>
      <c r="G87" s="8" t="s">
        <v>96</v>
      </c>
    </row>
    <row r="88" spans="1:8" x14ac:dyDescent="0.3">
      <c r="A88" s="9">
        <f>+B85*0.0254</f>
        <v>0.15239999999999998</v>
      </c>
      <c r="B88" s="2">
        <f>+B84</f>
        <v>5.2600000000000001E-2</v>
      </c>
      <c r="C88" s="4">
        <f>+((B83-SIN(B83))*(A88)^2)/8</f>
        <v>9.1207346237549575E-3</v>
      </c>
      <c r="D88" s="2">
        <f>+B83*A88/2</f>
        <v>0.23938936020354221</v>
      </c>
      <c r="E88" s="2">
        <f>(1-SIN(B83)/B83)*(A88)/4</f>
        <v>3.8099999999999995E-2</v>
      </c>
      <c r="F88" s="9">
        <f>C88*(E88^(2/3))*(B88^(1/2))/B82</f>
        <v>2.3684961088403469E-2</v>
      </c>
      <c r="G88" s="20">
        <f>+B81/C88</f>
        <v>0.75701291329166398</v>
      </c>
    </row>
    <row r="90" spans="1:8" x14ac:dyDescent="0.3">
      <c r="C90" s="1" t="s">
        <v>100</v>
      </c>
      <c r="D90" s="1"/>
      <c r="F90" s="1" t="str">
        <f>+IF(B81&lt;F88,"CUMPLE","NO CUMPLE")</f>
        <v>CUMPLE</v>
      </c>
      <c r="G90" s="1"/>
    </row>
    <row r="91" spans="1:8" x14ac:dyDescent="0.3">
      <c r="C91" s="1" t="s">
        <v>98</v>
      </c>
      <c r="D91" s="1"/>
      <c r="F91" s="1" t="str">
        <f>+IF(G88&lt;5,"CUMPLE","Verificar Diametro")</f>
        <v>CUMPLE</v>
      </c>
      <c r="G91" s="1"/>
    </row>
    <row r="92" spans="1:8" x14ac:dyDescent="0.3">
      <c r="C92" s="1" t="s">
        <v>69</v>
      </c>
      <c r="D92" s="1"/>
    </row>
    <row r="93" spans="1:8" x14ac:dyDescent="0.3">
      <c r="D93" s="27" t="s">
        <v>59</v>
      </c>
      <c r="E93" s="27">
        <f>IF(B81&lt;F88,A88/0.0254,"Modificar Diametro")</f>
        <v>5.9999999999999991</v>
      </c>
      <c r="F93" s="27" t="s">
        <v>65</v>
      </c>
    </row>
    <row r="96" spans="1:8" ht="18" x14ac:dyDescent="0.35">
      <c r="A96" s="10" t="s">
        <v>158</v>
      </c>
      <c r="H96" s="11"/>
    </row>
    <row r="97" spans="1:11" x14ac:dyDescent="0.3">
      <c r="B97" s="2" t="s">
        <v>20</v>
      </c>
      <c r="C97" s="2" t="s">
        <v>13</v>
      </c>
      <c r="D97" s="2" t="s">
        <v>17</v>
      </c>
      <c r="E97" s="2" t="s">
        <v>22</v>
      </c>
      <c r="F97" s="2" t="s">
        <v>18</v>
      </c>
      <c r="G97" s="2" t="s">
        <v>19</v>
      </c>
      <c r="H97" s="11"/>
    </row>
    <row r="98" spans="1:11" x14ac:dyDescent="0.3">
      <c r="A98" s="7" t="s">
        <v>26</v>
      </c>
      <c r="B98" s="2">
        <f>+$B$9/10000</f>
        <v>4.0448000000000005E-2</v>
      </c>
      <c r="C98" s="2">
        <v>0.97</v>
      </c>
      <c r="D98" s="2">
        <v>100</v>
      </c>
      <c r="E98" s="2">
        <v>5</v>
      </c>
      <c r="F98" s="6">
        <f t="shared" ref="F98:F99" si="5">+B98*C98*D98/360</f>
        <v>1.0898488888888889E-2</v>
      </c>
      <c r="G98" s="6">
        <f t="shared" ref="G98" si="6">+F98/E98</f>
        <v>2.1796977777777779E-3</v>
      </c>
      <c r="H98" s="12"/>
    </row>
    <row r="99" spans="1:11" x14ac:dyDescent="0.3">
      <c r="A99" s="2" t="s">
        <v>74</v>
      </c>
      <c r="B99" s="2">
        <f>(37)/10000</f>
        <v>3.7000000000000002E-3</v>
      </c>
      <c r="C99" s="2">
        <v>0.97</v>
      </c>
      <c r="D99" s="2">
        <v>100</v>
      </c>
      <c r="E99" s="19">
        <v>1</v>
      </c>
      <c r="F99" s="6">
        <f t="shared" si="5"/>
        <v>9.969444444444444E-4</v>
      </c>
      <c r="G99" s="6"/>
      <c r="H99" s="12"/>
    </row>
    <row r="100" spans="1:11" x14ac:dyDescent="0.3">
      <c r="A100" s="11"/>
      <c r="B100" s="11"/>
      <c r="C100" s="11"/>
      <c r="D100" s="11"/>
      <c r="E100" s="11"/>
      <c r="F100" s="12"/>
      <c r="G100" s="12"/>
    </row>
    <row r="101" spans="1:11" x14ac:dyDescent="0.3">
      <c r="F101" s="2" t="s">
        <v>43</v>
      </c>
      <c r="G101" s="6">
        <f>+G98+F99</f>
        <v>3.1766422222222223E-3</v>
      </c>
    </row>
    <row r="102" spans="1:11" x14ac:dyDescent="0.3">
      <c r="A102" s="1" t="s">
        <v>33</v>
      </c>
      <c r="B102" s="1"/>
      <c r="C102" s="1"/>
    </row>
    <row r="103" spans="1:11" x14ac:dyDescent="0.3">
      <c r="A103" s="5" t="s">
        <v>34</v>
      </c>
      <c r="B103" s="14">
        <f>+G101</f>
        <v>3.1766422222222223E-3</v>
      </c>
      <c r="C103" t="s">
        <v>15</v>
      </c>
    </row>
    <row r="104" spans="1:11" x14ac:dyDescent="0.3">
      <c r="A104" s="5" t="s">
        <v>44</v>
      </c>
      <c r="B104" s="7">
        <v>1.2999999999999999E-2</v>
      </c>
    </row>
    <row r="105" spans="1:11" x14ac:dyDescent="0.3">
      <c r="A105" s="5" t="s">
        <v>35</v>
      </c>
      <c r="B105" s="7">
        <v>0</v>
      </c>
    </row>
    <row r="106" spans="1:11" x14ac:dyDescent="0.3">
      <c r="A106" s="5" t="s">
        <v>36</v>
      </c>
      <c r="B106" s="7">
        <v>0.2</v>
      </c>
      <c r="C106" t="s">
        <v>49</v>
      </c>
      <c r="H106" s="13"/>
    </row>
    <row r="107" spans="1:11" x14ac:dyDescent="0.3">
      <c r="A107" s="5" t="s">
        <v>38</v>
      </c>
      <c r="B107" s="7">
        <v>5.0000000000000001E-3</v>
      </c>
      <c r="C107" t="s">
        <v>50</v>
      </c>
    </row>
    <row r="108" spans="1:11" x14ac:dyDescent="0.3">
      <c r="A108" s="5" t="s">
        <v>81</v>
      </c>
      <c r="B108" s="7">
        <v>0.7</v>
      </c>
      <c r="C108" t="s">
        <v>49</v>
      </c>
      <c r="G108" s="13"/>
    </row>
    <row r="109" spans="1:11" x14ac:dyDescent="0.3">
      <c r="H109" s="8" t="s">
        <v>60</v>
      </c>
      <c r="I109" s="17" t="s">
        <v>46</v>
      </c>
      <c r="J109" s="8" t="s">
        <v>101</v>
      </c>
      <c r="K109" s="8" t="s">
        <v>96</v>
      </c>
    </row>
    <row r="110" spans="1:11" x14ac:dyDescent="0.3">
      <c r="A110" s="8" t="s">
        <v>37</v>
      </c>
      <c r="B110" s="2" t="s">
        <v>38</v>
      </c>
      <c r="C110" s="5" t="s">
        <v>39</v>
      </c>
      <c r="D110" s="5" t="s">
        <v>40</v>
      </c>
      <c r="E110" s="5" t="s">
        <v>41</v>
      </c>
      <c r="F110" s="5" t="s">
        <v>34</v>
      </c>
      <c r="G110" s="17" t="s">
        <v>45</v>
      </c>
      <c r="H110" s="20">
        <f>+ROUND(G111,4)*100</f>
        <v>3</v>
      </c>
      <c r="I110" s="2">
        <f>4/5*B108</f>
        <v>0.55999999999999994</v>
      </c>
      <c r="J110" s="9">
        <f>+(B108-G111)*100</f>
        <v>67</v>
      </c>
      <c r="K110" s="20">
        <f>+B103/C111</f>
        <v>0.55667843950819806</v>
      </c>
    </row>
    <row r="111" spans="1:11" x14ac:dyDescent="0.3">
      <c r="A111" s="9">
        <v>2.8532111150457451E-2</v>
      </c>
      <c r="B111" s="4">
        <f>+B107</f>
        <v>5.0000000000000001E-3</v>
      </c>
      <c r="C111" s="2">
        <f>+A111*B106</f>
        <v>5.7064222300914902E-3</v>
      </c>
      <c r="D111" s="2">
        <f>+B106+2*A111</f>
        <v>0.25706422230091491</v>
      </c>
      <c r="E111" s="2">
        <f>C111/D111</f>
        <v>2.2198430333925084E-2</v>
      </c>
      <c r="F111" s="2">
        <f>C111*(E111^(2/3))*(B111^(1/2))/B104</f>
        <v>2.4516232438395306E-3</v>
      </c>
      <c r="G111" s="31">
        <f>ROUND(A111,2)</f>
        <v>0.03</v>
      </c>
    </row>
    <row r="112" spans="1:11" x14ac:dyDescent="0.3">
      <c r="H112" s="1"/>
      <c r="I112" s="1" t="str">
        <f>IF(G111&lt;I110,"CUMPLE","NO CUMPLE")</f>
        <v>CUMPLE</v>
      </c>
      <c r="J112" s="1"/>
    </row>
    <row r="113" spans="1:10" x14ac:dyDescent="0.3">
      <c r="F113" s="1" t="s">
        <v>47</v>
      </c>
      <c r="G113" s="1"/>
      <c r="I113" s="1" t="str">
        <f>+IF(K110&lt;3,"CUMPLE","Verificar Ancho")</f>
        <v>CUMPLE</v>
      </c>
      <c r="J113" s="1"/>
    </row>
    <row r="114" spans="1:10" x14ac:dyDescent="0.3">
      <c r="F114" s="1" t="s">
        <v>97</v>
      </c>
      <c r="G114" s="1"/>
    </row>
    <row r="117" spans="1:10" ht="18" x14ac:dyDescent="0.35">
      <c r="A117" s="10" t="s">
        <v>159</v>
      </c>
    </row>
    <row r="118" spans="1:10" x14ac:dyDescent="0.3">
      <c r="B118" s="2" t="s">
        <v>20</v>
      </c>
      <c r="C118" s="2" t="s">
        <v>13</v>
      </c>
      <c r="D118" s="2" t="s">
        <v>17</v>
      </c>
      <c r="E118" s="2" t="s">
        <v>22</v>
      </c>
      <c r="F118" s="2" t="s">
        <v>18</v>
      </c>
      <c r="G118" s="2" t="s">
        <v>19</v>
      </c>
    </row>
    <row r="119" spans="1:10" x14ac:dyDescent="0.3">
      <c r="A119" s="2" t="s">
        <v>54</v>
      </c>
      <c r="B119" s="47"/>
      <c r="C119" s="48"/>
      <c r="D119" s="48"/>
      <c r="E119" s="49"/>
      <c r="F119" s="6">
        <f>+B103</f>
        <v>3.1766422222222223E-3</v>
      </c>
      <c r="G119" s="2"/>
    </row>
    <row r="120" spans="1:10" x14ac:dyDescent="0.3">
      <c r="A120" s="7" t="s">
        <v>26</v>
      </c>
      <c r="B120" s="2">
        <f>+$B$9/10000</f>
        <v>4.0448000000000005E-2</v>
      </c>
      <c r="C120" s="2">
        <v>0.97</v>
      </c>
      <c r="D120" s="2">
        <v>100</v>
      </c>
      <c r="E120" s="2">
        <v>5</v>
      </c>
      <c r="F120" s="6">
        <f t="shared" ref="F120" si="7">+B120*C120*D120/360</f>
        <v>1.0898488888888889E-2</v>
      </c>
      <c r="G120" s="6">
        <f t="shared" ref="G120" si="8">+F120/E120</f>
        <v>2.1796977777777779E-3</v>
      </c>
      <c r="H120" s="12"/>
    </row>
    <row r="121" spans="1:10" x14ac:dyDescent="0.3">
      <c r="A121" s="11"/>
      <c r="B121" s="11"/>
      <c r="C121" s="11"/>
      <c r="D121" s="11"/>
      <c r="E121" s="11"/>
      <c r="F121" s="12"/>
      <c r="G121" s="12"/>
    </row>
    <row r="122" spans="1:10" x14ac:dyDescent="0.3">
      <c r="F122" s="2" t="s">
        <v>43</v>
      </c>
      <c r="G122" s="6">
        <f>+F119+G120</f>
        <v>5.3563400000000002E-3</v>
      </c>
    </row>
    <row r="123" spans="1:10" x14ac:dyDescent="0.3">
      <c r="A123" s="1" t="s">
        <v>71</v>
      </c>
      <c r="B123" s="1"/>
      <c r="C123" s="1"/>
    </row>
    <row r="124" spans="1:10" x14ac:dyDescent="0.3">
      <c r="A124" s="5" t="s">
        <v>66</v>
      </c>
      <c r="B124" s="14">
        <f>+G122</f>
        <v>5.3563400000000002E-3</v>
      </c>
      <c r="C124" t="s">
        <v>15</v>
      </c>
    </row>
    <row r="125" spans="1:10" x14ac:dyDescent="0.3">
      <c r="A125" s="5" t="s">
        <v>56</v>
      </c>
      <c r="B125" s="7">
        <v>0.01</v>
      </c>
    </row>
    <row r="126" spans="1:10" ht="18" x14ac:dyDescent="0.35">
      <c r="A126" s="21" t="s">
        <v>68</v>
      </c>
      <c r="B126" s="15">
        <f>300*PI()/180</f>
        <v>5.2359877559829888</v>
      </c>
      <c r="C126" t="s">
        <v>58</v>
      </c>
    </row>
    <row r="127" spans="1:10" x14ac:dyDescent="0.3">
      <c r="A127" s="5" t="s">
        <v>38</v>
      </c>
      <c r="B127" s="7">
        <v>0.01</v>
      </c>
      <c r="C127" t="s">
        <v>50</v>
      </c>
    </row>
    <row r="128" spans="1:10" x14ac:dyDescent="0.3">
      <c r="A128" s="23" t="s">
        <v>57</v>
      </c>
      <c r="B128" s="22">
        <v>4</v>
      </c>
      <c r="C128" t="s">
        <v>65</v>
      </c>
      <c r="G128" s="13"/>
    </row>
    <row r="130" spans="1:8" x14ac:dyDescent="0.3">
      <c r="A130" s="8" t="s">
        <v>57</v>
      </c>
      <c r="B130" s="2" t="s">
        <v>38</v>
      </c>
      <c r="C130" s="5" t="s">
        <v>39</v>
      </c>
      <c r="D130" s="5" t="s">
        <v>40</v>
      </c>
      <c r="E130" s="5" t="s">
        <v>41</v>
      </c>
      <c r="F130" s="8" t="s">
        <v>67</v>
      </c>
      <c r="G130" s="8" t="s">
        <v>96</v>
      </c>
    </row>
    <row r="131" spans="1:8" x14ac:dyDescent="0.3">
      <c r="A131" s="9">
        <f>+B128*0.0254</f>
        <v>0.1016</v>
      </c>
      <c r="B131" s="2">
        <f>+B127</f>
        <v>0.01</v>
      </c>
      <c r="C131" s="4">
        <f>+((B126-SIN(B126))*(A131)^2)/8</f>
        <v>7.8735496203111068E-3</v>
      </c>
      <c r="D131" s="2">
        <f>+B126*A131/2</f>
        <v>0.26598817800393582</v>
      </c>
      <c r="E131" s="2">
        <f>(1-SIN(B126)/B126)*(A131)/4</f>
        <v>2.9601126183114054E-2</v>
      </c>
      <c r="F131" s="9">
        <f>C131*(E131^(2/3))*(B131^(1/2))/B125</f>
        <v>7.5342968090993511E-3</v>
      </c>
      <c r="G131" s="20">
        <f>+B124/C131</f>
        <v>0.68029545228018207</v>
      </c>
    </row>
    <row r="133" spans="1:8" x14ac:dyDescent="0.3">
      <c r="C133" s="1" t="s">
        <v>100</v>
      </c>
      <c r="D133" s="1"/>
      <c r="F133" s="1" t="str">
        <f>+IF(B124&lt;F131,"CUMPLE","NO CUMPLE")</f>
        <v>CUMPLE</v>
      </c>
      <c r="G133" s="1"/>
    </row>
    <row r="134" spans="1:8" x14ac:dyDescent="0.3">
      <c r="C134" s="1" t="s">
        <v>98</v>
      </c>
      <c r="D134" s="1"/>
      <c r="F134" s="1" t="str">
        <f>+IF(G131&lt;5,"CUMPLE","Verificar Diametro")</f>
        <v>CUMPLE</v>
      </c>
      <c r="G134" s="1"/>
    </row>
    <row r="135" spans="1:8" x14ac:dyDescent="0.3">
      <c r="C135" s="1" t="s">
        <v>69</v>
      </c>
      <c r="D135" s="1"/>
    </row>
    <row r="136" spans="1:8" x14ac:dyDescent="0.3">
      <c r="D136" s="27" t="s">
        <v>59</v>
      </c>
      <c r="E136" s="27">
        <f>IF(B124&lt;F131,A131/0.0254,"Modificar Diametro")</f>
        <v>4</v>
      </c>
      <c r="F136" s="27" t="s">
        <v>65</v>
      </c>
    </row>
    <row r="139" spans="1:8" ht="18" x14ac:dyDescent="0.35">
      <c r="A139" s="37" t="s">
        <v>160</v>
      </c>
      <c r="H139" s="11"/>
    </row>
    <row r="140" spans="1:8" x14ac:dyDescent="0.3">
      <c r="B140" s="2" t="s">
        <v>20</v>
      </c>
      <c r="C140" s="2" t="s">
        <v>13</v>
      </c>
      <c r="D140" s="2" t="s">
        <v>17</v>
      </c>
      <c r="E140" s="2" t="s">
        <v>22</v>
      </c>
      <c r="F140" s="2" t="s">
        <v>18</v>
      </c>
      <c r="G140" s="2" t="s">
        <v>19</v>
      </c>
      <c r="H140" s="11"/>
    </row>
    <row r="141" spans="1:8" x14ac:dyDescent="0.3">
      <c r="A141" s="2" t="s">
        <v>54</v>
      </c>
      <c r="B141" s="47"/>
      <c r="C141" s="48"/>
      <c r="D141" s="48"/>
      <c r="E141" s="49"/>
      <c r="F141" s="6">
        <f>+B125</f>
        <v>0.01</v>
      </c>
      <c r="G141" s="2"/>
      <c r="H141" s="11"/>
    </row>
    <row r="142" spans="1:8" x14ac:dyDescent="0.3">
      <c r="A142" s="7" t="s">
        <v>26</v>
      </c>
      <c r="B142" s="2">
        <f>+$B$9/10000</f>
        <v>4.0448000000000005E-2</v>
      </c>
      <c r="C142" s="2">
        <v>0.97</v>
      </c>
      <c r="D142" s="2">
        <v>100</v>
      </c>
      <c r="E142" s="2">
        <v>5</v>
      </c>
      <c r="F142" s="6">
        <f t="shared" ref="F142:F143" si="9">+B142*C142*D142/360</f>
        <v>1.0898488888888889E-2</v>
      </c>
      <c r="G142" s="6">
        <f t="shared" ref="G142" si="10">+F142/E142</f>
        <v>2.1796977777777779E-3</v>
      </c>
      <c r="H142" s="12"/>
    </row>
    <row r="143" spans="1:8" x14ac:dyDescent="0.3">
      <c r="A143" s="2" t="s">
        <v>74</v>
      </c>
      <c r="B143" s="2">
        <f>(81+32)/10000</f>
        <v>1.1299999999999999E-2</v>
      </c>
      <c r="C143" s="2">
        <v>0.97</v>
      </c>
      <c r="D143" s="2">
        <v>100</v>
      </c>
      <c r="E143" s="19">
        <v>1</v>
      </c>
      <c r="F143" s="6">
        <f t="shared" si="9"/>
        <v>3.0447222222222217E-3</v>
      </c>
      <c r="G143" s="6"/>
      <c r="H143" s="12"/>
    </row>
    <row r="144" spans="1:8" x14ac:dyDescent="0.3">
      <c r="A144" s="11"/>
      <c r="B144" s="11"/>
      <c r="C144" s="11"/>
      <c r="D144" s="11"/>
      <c r="E144" s="11"/>
      <c r="F144" s="12"/>
      <c r="G144" s="12"/>
    </row>
    <row r="145" spans="1:11" x14ac:dyDescent="0.3">
      <c r="F145" s="2" t="s">
        <v>43</v>
      </c>
      <c r="G145" s="6">
        <f>+F141+G142*2+F143</f>
        <v>1.740411777777778E-2</v>
      </c>
    </row>
    <row r="146" spans="1:11" x14ac:dyDescent="0.3">
      <c r="A146" s="1" t="s">
        <v>33</v>
      </c>
      <c r="B146" s="1"/>
      <c r="C146" s="1"/>
    </row>
    <row r="147" spans="1:11" x14ac:dyDescent="0.3">
      <c r="A147" s="5" t="s">
        <v>34</v>
      </c>
      <c r="B147" s="14">
        <f>+G145</f>
        <v>1.740411777777778E-2</v>
      </c>
      <c r="C147" t="s">
        <v>15</v>
      </c>
    </row>
    <row r="148" spans="1:11" x14ac:dyDescent="0.3">
      <c r="A148" s="5" t="s">
        <v>44</v>
      </c>
      <c r="B148" s="7">
        <v>1.2999999999999999E-2</v>
      </c>
    </row>
    <row r="149" spans="1:11" x14ac:dyDescent="0.3">
      <c r="A149" s="5" t="s">
        <v>35</v>
      </c>
      <c r="B149" s="7">
        <v>0</v>
      </c>
    </row>
    <row r="150" spans="1:11" x14ac:dyDescent="0.3">
      <c r="A150" s="5" t="s">
        <v>36</v>
      </c>
      <c r="B150" s="7">
        <v>0.2</v>
      </c>
      <c r="C150" t="s">
        <v>49</v>
      </c>
      <c r="H150" s="13"/>
    </row>
    <row r="151" spans="1:11" x14ac:dyDescent="0.3">
      <c r="A151" s="5" t="s">
        <v>38</v>
      </c>
      <c r="B151" s="7">
        <v>5.0000000000000001E-3</v>
      </c>
      <c r="C151" t="s">
        <v>50</v>
      </c>
    </row>
    <row r="152" spans="1:11" x14ac:dyDescent="0.3">
      <c r="A152" s="5" t="s">
        <v>81</v>
      </c>
      <c r="B152" s="7">
        <v>0.7</v>
      </c>
      <c r="C152" t="s">
        <v>49</v>
      </c>
      <c r="G152" s="13"/>
    </row>
    <row r="154" spans="1:11" x14ac:dyDescent="0.3">
      <c r="A154" s="8" t="s">
        <v>37</v>
      </c>
      <c r="B154" s="2" t="s">
        <v>38</v>
      </c>
      <c r="C154" s="5" t="s">
        <v>39</v>
      </c>
      <c r="D154" s="5" t="s">
        <v>40</v>
      </c>
      <c r="E154" s="5" t="s">
        <v>41</v>
      </c>
      <c r="F154" s="5" t="s">
        <v>34</v>
      </c>
      <c r="G154" s="17" t="s">
        <v>45</v>
      </c>
      <c r="H154" s="8" t="s">
        <v>60</v>
      </c>
      <c r="I154" s="17" t="s">
        <v>46</v>
      </c>
      <c r="J154" s="8" t="s">
        <v>101</v>
      </c>
      <c r="K154" s="8" t="s">
        <v>96</v>
      </c>
    </row>
    <row r="155" spans="1:11" x14ac:dyDescent="0.3">
      <c r="A155" s="9">
        <v>0.11726697682838014</v>
      </c>
      <c r="B155" s="4">
        <f>+B151</f>
        <v>5.0000000000000001E-3</v>
      </c>
      <c r="C155" s="2">
        <f>+A155*B150</f>
        <v>2.345339536567603E-2</v>
      </c>
      <c r="D155" s="2">
        <f>+B150+2*A155</f>
        <v>0.43453395365676029</v>
      </c>
      <c r="E155" s="2">
        <f>C155/D155</f>
        <v>5.3973677242726906E-2</v>
      </c>
      <c r="F155" s="2">
        <f>C155*(E155^(2/3))*(B155^(1/2))/B148</f>
        <v>1.8219454915265217E-2</v>
      </c>
      <c r="G155" s="31">
        <f>ROUND(A155,2)</f>
        <v>0.12</v>
      </c>
      <c r="H155" s="20">
        <f>+ROUND(G155,4)*100</f>
        <v>12</v>
      </c>
      <c r="I155" s="2">
        <f>4/5*B152</f>
        <v>0.55999999999999994</v>
      </c>
      <c r="J155" s="9">
        <f>+(B152-G155)*100</f>
        <v>57.999999999999993</v>
      </c>
      <c r="K155" s="20">
        <f>+B147/C155</f>
        <v>0.74207241665522983</v>
      </c>
    </row>
    <row r="157" spans="1:11" x14ac:dyDescent="0.3">
      <c r="F157" s="1" t="s">
        <v>47</v>
      </c>
      <c r="G157" s="1"/>
      <c r="H157" s="1"/>
      <c r="I157" s="1" t="str">
        <f>IF(G155&lt;I155,"CUMPLE","NO CUMPLE")</f>
        <v>CUMPLE</v>
      </c>
      <c r="J157" s="1"/>
    </row>
    <row r="158" spans="1:11" x14ac:dyDescent="0.3">
      <c r="F158" s="1" t="s">
        <v>97</v>
      </c>
      <c r="G158" s="1"/>
      <c r="I158" s="1" t="str">
        <f>+IF(K155&lt;3,"CUMPLE","Verificar Ancho")</f>
        <v>CUMPLE</v>
      </c>
      <c r="J158" s="1"/>
    </row>
    <row r="161" spans="1:7" ht="18" x14ac:dyDescent="0.35">
      <c r="A161" s="10" t="s">
        <v>161</v>
      </c>
    </row>
    <row r="162" spans="1:7" x14ac:dyDescent="0.3">
      <c r="B162" s="2" t="s">
        <v>20</v>
      </c>
      <c r="C162" s="2" t="s">
        <v>13</v>
      </c>
      <c r="D162" s="2" t="s">
        <v>17</v>
      </c>
      <c r="E162" s="2" t="s">
        <v>22</v>
      </c>
      <c r="F162" s="2" t="s">
        <v>18</v>
      </c>
      <c r="G162" s="2" t="s">
        <v>19</v>
      </c>
    </row>
    <row r="163" spans="1:7" x14ac:dyDescent="0.3">
      <c r="A163" s="2" t="s">
        <v>54</v>
      </c>
      <c r="B163" s="47"/>
      <c r="C163" s="48"/>
      <c r="D163" s="48"/>
      <c r="E163" s="49"/>
      <c r="F163" s="6">
        <f>+B81+B147</f>
        <v>2.430863166666667E-2</v>
      </c>
      <c r="G163" s="2"/>
    </row>
    <row r="164" spans="1:7" x14ac:dyDescent="0.3">
      <c r="A164" s="7" t="s">
        <v>26</v>
      </c>
      <c r="B164" s="2">
        <f>+$B$9/10000</f>
        <v>4.0448000000000005E-2</v>
      </c>
      <c r="C164" s="2">
        <v>0.97</v>
      </c>
      <c r="D164" s="2">
        <v>100</v>
      </c>
      <c r="E164" s="2">
        <v>5</v>
      </c>
      <c r="F164" s="6">
        <f t="shared" ref="F164" si="11">+B164*C164*D164/360</f>
        <v>1.0898488888888889E-2</v>
      </c>
      <c r="G164" s="6">
        <f t="shared" ref="G164" si="12">+F164/E164</f>
        <v>2.1796977777777779E-3</v>
      </c>
    </row>
    <row r="165" spans="1:7" x14ac:dyDescent="0.3">
      <c r="A165" s="3"/>
      <c r="B165" s="11"/>
      <c r="C165" s="11"/>
      <c r="D165" s="11"/>
      <c r="E165" s="25"/>
      <c r="F165" s="6"/>
      <c r="G165" s="6"/>
    </row>
    <row r="166" spans="1:7" x14ac:dyDescent="0.3">
      <c r="F166" s="2" t="s">
        <v>43</v>
      </c>
      <c r="G166" s="6">
        <f>+F163+G164</f>
        <v>2.6488329444444448E-2</v>
      </c>
    </row>
    <row r="167" spans="1:7" x14ac:dyDescent="0.3">
      <c r="A167" s="1" t="s">
        <v>71</v>
      </c>
      <c r="B167" s="1"/>
      <c r="C167" s="1"/>
    </row>
    <row r="168" spans="1:7" x14ac:dyDescent="0.3">
      <c r="A168" s="5" t="s">
        <v>66</v>
      </c>
      <c r="B168" s="14">
        <f>+G166</f>
        <v>2.6488329444444448E-2</v>
      </c>
      <c r="C168" t="s">
        <v>15</v>
      </c>
    </row>
    <row r="169" spans="1:7" x14ac:dyDescent="0.3">
      <c r="A169" s="5" t="s">
        <v>56</v>
      </c>
      <c r="B169" s="7">
        <v>0.01</v>
      </c>
    </row>
    <row r="170" spans="1:7" ht="18" x14ac:dyDescent="0.35">
      <c r="A170" s="21" t="s">
        <v>93</v>
      </c>
      <c r="B170" s="15">
        <f>180*PI()/180</f>
        <v>3.1415926535897931</v>
      </c>
      <c r="C170" t="s">
        <v>58</v>
      </c>
    </row>
    <row r="171" spans="1:7" x14ac:dyDescent="0.3">
      <c r="A171" s="5" t="s">
        <v>38</v>
      </c>
      <c r="B171" s="7">
        <v>0.01</v>
      </c>
      <c r="C171" t="s">
        <v>50</v>
      </c>
    </row>
    <row r="172" spans="1:7" x14ac:dyDescent="0.3">
      <c r="A172" s="23" t="s">
        <v>57</v>
      </c>
      <c r="B172" s="22">
        <v>10</v>
      </c>
      <c r="C172" t="s">
        <v>65</v>
      </c>
      <c r="G172" s="13"/>
    </row>
    <row r="174" spans="1:7" x14ac:dyDescent="0.3">
      <c r="A174" s="8" t="s">
        <v>57</v>
      </c>
      <c r="B174" s="2" t="s">
        <v>38</v>
      </c>
      <c r="C174" s="5" t="s">
        <v>39</v>
      </c>
      <c r="D174" s="5" t="s">
        <v>40</v>
      </c>
      <c r="E174" s="5" t="s">
        <v>41</v>
      </c>
      <c r="F174" s="8" t="s">
        <v>67</v>
      </c>
      <c r="G174" s="8" t="s">
        <v>96</v>
      </c>
    </row>
    <row r="175" spans="1:7" x14ac:dyDescent="0.3">
      <c r="A175" s="9">
        <f>+B172*0.0254</f>
        <v>0.254</v>
      </c>
      <c r="B175" s="2">
        <f>+B171</f>
        <v>0.01</v>
      </c>
      <c r="C175" s="4">
        <f>+((B170-SIN(B170))*(A175)^2)/8</f>
        <v>2.5335373954874889E-2</v>
      </c>
      <c r="D175" s="2">
        <f>+B170*A175/2</f>
        <v>0.39898226700590372</v>
      </c>
      <c r="E175" s="2">
        <f>(1-SIN(B170)/B170)*(A175)/4</f>
        <v>6.3500000000000001E-2</v>
      </c>
      <c r="F175" s="9">
        <f>C175*(E175^(2/3))*(B175^(1/2))/B169</f>
        <v>4.0325194346198773E-2</v>
      </c>
      <c r="G175" s="20">
        <f>+B168/C175</f>
        <v>1.0455077352172935</v>
      </c>
    </row>
    <row r="177" spans="3:7" x14ac:dyDescent="0.3">
      <c r="C177" s="1" t="s">
        <v>70</v>
      </c>
      <c r="D177" s="1"/>
      <c r="F177" s="1" t="str">
        <f>+IF(B168&lt;F175,"CUMPLE","NO CUMPLE")</f>
        <v>CUMPLE</v>
      </c>
      <c r="G177" s="1"/>
    </row>
    <row r="178" spans="3:7" x14ac:dyDescent="0.3">
      <c r="C178" s="1" t="s">
        <v>98</v>
      </c>
      <c r="D178" s="1"/>
      <c r="F178" s="1" t="str">
        <f>+IF(G175&lt;5,"CUMPLE","Verificar Diametro")</f>
        <v>CUMPLE</v>
      </c>
      <c r="G178" s="1"/>
    </row>
    <row r="179" spans="3:7" x14ac:dyDescent="0.3">
      <c r="C179" s="1" t="s">
        <v>69</v>
      </c>
      <c r="D179" s="1"/>
    </row>
    <row r="180" spans="3:7" x14ac:dyDescent="0.3">
      <c r="D180" s="27" t="s">
        <v>59</v>
      </c>
      <c r="E180" s="27">
        <f>IF(B168&lt;F175,A175/0.0254,"Modificar Diametro")</f>
        <v>10</v>
      </c>
      <c r="F180" s="27" t="s">
        <v>65</v>
      </c>
    </row>
  </sheetData>
  <mergeCells count="5">
    <mergeCell ref="B76:E76"/>
    <mergeCell ref="B119:E119"/>
    <mergeCell ref="B141:E141"/>
    <mergeCell ref="B163:E163"/>
    <mergeCell ref="B4:C4"/>
  </mergeCells>
  <conditionalFormatting sqref="I71:J71 I52:J53 F90:F91 I112:J113 F133:F134 F177:F178 I157:J158 I35:J35">
    <cfRule type="cellIs" dxfId="107" priority="129" operator="lessThan">
      <formula>#REF!</formula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38" operator="containsText" id="{EE77D05E-A03F-49F0-BD8E-0C75A4682296}">
            <xm:f>NOT(ISERROR(SEARCH(#REF!,F35)))</xm:f>
            <xm:f>#REF!</xm:f>
            <x14:dxf>
              <fill>
                <patternFill>
                  <bgColor rgb="FF00B0F0"/>
                </patternFill>
              </fill>
            </x14:dxf>
          </x14:cfRule>
          <xm:sqref>I71:J71 I52:J53 F90:F91 I112:J113 F133:F134 F177:F178 I157:J158 I35:J35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9CF32-87AB-4814-B4EB-81AD00852CD5}">
  <sheetPr>
    <tabColor rgb="FFFF0000"/>
  </sheetPr>
  <dimension ref="A1:T734"/>
  <sheetViews>
    <sheetView tabSelected="1" view="pageBreakPreview" topLeftCell="A688" zoomScale="60" zoomScaleNormal="70" workbookViewId="0">
      <selection activeCell="E62" sqref="E62"/>
    </sheetView>
  </sheetViews>
  <sheetFormatPr baseColWidth="10" defaultRowHeight="14.4" x14ac:dyDescent="0.3"/>
  <cols>
    <col min="1" max="1" width="29.109375" bestFit="1" customWidth="1"/>
    <col min="2" max="2" width="19.109375" customWidth="1"/>
    <col min="3" max="3" width="13.44140625" bestFit="1" customWidth="1"/>
    <col min="4" max="4" width="12.5546875" customWidth="1"/>
    <col min="5" max="5" width="17" customWidth="1"/>
    <col min="6" max="6" width="14.6640625" customWidth="1"/>
    <col min="7" max="8" width="19.6640625" customWidth="1"/>
    <col min="12" max="12" width="14.109375" customWidth="1"/>
  </cols>
  <sheetData>
    <row r="1" spans="1:3" hidden="1" x14ac:dyDescent="0.3"/>
    <row r="2" spans="1:3" ht="18" hidden="1" x14ac:dyDescent="0.35">
      <c r="A2" s="10" t="s">
        <v>76</v>
      </c>
    </row>
    <row r="3" spans="1:3" hidden="1" x14ac:dyDescent="0.3"/>
    <row r="4" spans="1:3" hidden="1" x14ac:dyDescent="0.3">
      <c r="A4" s="29" t="s">
        <v>1</v>
      </c>
      <c r="B4" s="45" t="s">
        <v>16</v>
      </c>
      <c r="C4" s="46"/>
    </row>
    <row r="5" spans="1:3" hidden="1" x14ac:dyDescent="0.3">
      <c r="A5" s="7" t="s">
        <v>0</v>
      </c>
      <c r="B5" s="2">
        <v>76.27</v>
      </c>
      <c r="C5" s="2" t="s">
        <v>14</v>
      </c>
    </row>
    <row r="6" spans="1:3" hidden="1" x14ac:dyDescent="0.3">
      <c r="A6" s="7" t="s">
        <v>2</v>
      </c>
      <c r="B6" s="2">
        <v>334.08</v>
      </c>
      <c r="C6" s="2" t="s">
        <v>14</v>
      </c>
    </row>
    <row r="7" spans="1:3" hidden="1" x14ac:dyDescent="0.3">
      <c r="A7" s="7" t="s">
        <v>3</v>
      </c>
      <c r="B7" s="2">
        <v>47.84</v>
      </c>
      <c r="C7" s="2" t="s">
        <v>14</v>
      </c>
    </row>
    <row r="8" spans="1:3" hidden="1" x14ac:dyDescent="0.3">
      <c r="A8" s="7" t="s">
        <v>4</v>
      </c>
      <c r="B8" s="2">
        <v>359.24</v>
      </c>
      <c r="C8" s="2" t="s">
        <v>14</v>
      </c>
    </row>
    <row r="9" spans="1:3" hidden="1" x14ac:dyDescent="0.3">
      <c r="A9" s="7" t="s">
        <v>5</v>
      </c>
      <c r="B9" s="2">
        <v>424.78</v>
      </c>
      <c r="C9" s="2" t="s">
        <v>14</v>
      </c>
    </row>
    <row r="10" spans="1:3" hidden="1" x14ac:dyDescent="0.3">
      <c r="A10" s="7" t="s">
        <v>6</v>
      </c>
      <c r="B10" s="2">
        <v>219.73</v>
      </c>
      <c r="C10" s="2" t="s">
        <v>14</v>
      </c>
    </row>
    <row r="11" spans="1:3" hidden="1" x14ac:dyDescent="0.3">
      <c r="A11" s="7" t="s">
        <v>7</v>
      </c>
      <c r="B11" s="2">
        <v>47.95</v>
      </c>
      <c r="C11" s="2" t="s">
        <v>14</v>
      </c>
    </row>
    <row r="12" spans="1:3" hidden="1" x14ac:dyDescent="0.3">
      <c r="A12" s="7" t="s">
        <v>8</v>
      </c>
      <c r="B12" s="2">
        <v>212.74</v>
      </c>
      <c r="C12" s="2" t="s">
        <v>14</v>
      </c>
    </row>
    <row r="13" spans="1:3" hidden="1" x14ac:dyDescent="0.3">
      <c r="A13" s="7" t="s">
        <v>9</v>
      </c>
      <c r="B13" s="2">
        <v>128.44</v>
      </c>
      <c r="C13" s="2" t="s">
        <v>14</v>
      </c>
    </row>
    <row r="14" spans="1:3" hidden="1" x14ac:dyDescent="0.3">
      <c r="A14" s="7" t="s">
        <v>10</v>
      </c>
      <c r="B14" s="2">
        <v>334.08</v>
      </c>
      <c r="C14" s="2" t="s">
        <v>14</v>
      </c>
    </row>
    <row r="15" spans="1:3" hidden="1" x14ac:dyDescent="0.3">
      <c r="A15" s="7" t="s">
        <v>11</v>
      </c>
      <c r="B15" s="2">
        <v>147.75</v>
      </c>
      <c r="C15" s="2" t="s">
        <v>14</v>
      </c>
    </row>
    <row r="16" spans="1:3" hidden="1" x14ac:dyDescent="0.3"/>
    <row r="17" spans="1:8" hidden="1" x14ac:dyDescent="0.3"/>
    <row r="18" spans="1:8" hidden="1" x14ac:dyDescent="0.3">
      <c r="A18" s="1" t="s">
        <v>21</v>
      </c>
    </row>
    <row r="19" spans="1:8" hidden="1" x14ac:dyDescent="0.3"/>
    <row r="20" spans="1:8" hidden="1" x14ac:dyDescent="0.3">
      <c r="B20" s="2" t="s">
        <v>20</v>
      </c>
      <c r="C20" s="2" t="s">
        <v>13</v>
      </c>
      <c r="D20" s="2" t="s">
        <v>17</v>
      </c>
      <c r="E20" s="2" t="s">
        <v>22</v>
      </c>
      <c r="F20" s="2" t="s">
        <v>18</v>
      </c>
      <c r="G20" s="2" t="s">
        <v>19</v>
      </c>
      <c r="H20" s="11"/>
    </row>
    <row r="21" spans="1:8" hidden="1" x14ac:dyDescent="0.3">
      <c r="A21" s="7" t="s">
        <v>12</v>
      </c>
      <c r="B21" s="2">
        <f>+$B$5/10000</f>
        <v>7.6269999999999992E-3</v>
      </c>
      <c r="C21" s="2">
        <v>0.97</v>
      </c>
      <c r="D21" s="2">
        <v>100</v>
      </c>
      <c r="E21" s="2">
        <v>1</v>
      </c>
      <c r="F21" s="6">
        <f>+B21*C21*D21/360</f>
        <v>2.0550527777777774E-3</v>
      </c>
      <c r="G21" s="6">
        <f>+F21/E21</f>
        <v>2.0550527777777774E-3</v>
      </c>
      <c r="H21" s="12"/>
    </row>
    <row r="22" spans="1:8" hidden="1" x14ac:dyDescent="0.3">
      <c r="A22" s="7" t="s">
        <v>23</v>
      </c>
      <c r="B22" s="2">
        <f>+$B$6/10000</f>
        <v>3.3408E-2</v>
      </c>
      <c r="C22" s="2">
        <v>0.97</v>
      </c>
      <c r="D22" s="2">
        <v>100</v>
      </c>
      <c r="E22" s="2">
        <v>7</v>
      </c>
      <c r="F22" s="6">
        <f t="shared" ref="F22:F31" si="0">+B22*C22*D22/360</f>
        <v>9.0016000000000002E-3</v>
      </c>
      <c r="G22" s="6">
        <f t="shared" ref="G22:G31" si="1">+F22/E22</f>
        <v>1.2859428571428571E-3</v>
      </c>
      <c r="H22" s="12"/>
    </row>
    <row r="23" spans="1:8" hidden="1" x14ac:dyDescent="0.3">
      <c r="A23" s="7" t="s">
        <v>24</v>
      </c>
      <c r="B23" s="2">
        <f>+$B$7/10000</f>
        <v>4.7840000000000001E-3</v>
      </c>
      <c r="C23" s="2">
        <v>0.97</v>
      </c>
      <c r="D23" s="2">
        <v>100</v>
      </c>
      <c r="E23" s="2">
        <v>1</v>
      </c>
      <c r="F23" s="6">
        <f t="shared" si="0"/>
        <v>1.2890222222222221E-3</v>
      </c>
      <c r="G23" s="6">
        <f t="shared" si="1"/>
        <v>1.2890222222222221E-3</v>
      </c>
      <c r="H23" s="12"/>
    </row>
    <row r="24" spans="1:8" hidden="1" x14ac:dyDescent="0.3">
      <c r="A24" s="7" t="s">
        <v>25</v>
      </c>
      <c r="B24" s="2">
        <f>+$B$8/10000</f>
        <v>3.5923999999999998E-2</v>
      </c>
      <c r="C24" s="2">
        <v>0.97</v>
      </c>
      <c r="D24" s="2">
        <v>100</v>
      </c>
      <c r="E24" s="2">
        <v>3</v>
      </c>
      <c r="F24" s="6">
        <f t="shared" si="0"/>
        <v>9.679522222222221E-3</v>
      </c>
      <c r="G24" s="6">
        <f t="shared" si="1"/>
        <v>3.2265074074074068E-3</v>
      </c>
      <c r="H24" s="12"/>
    </row>
    <row r="25" spans="1:8" hidden="1" x14ac:dyDescent="0.3">
      <c r="A25" s="7" t="s">
        <v>26</v>
      </c>
      <c r="B25" s="2">
        <f>+$B$9/10000</f>
        <v>4.2477999999999995E-2</v>
      </c>
      <c r="C25" s="2">
        <v>0.97</v>
      </c>
      <c r="D25" s="2">
        <v>100</v>
      </c>
      <c r="E25" s="2">
        <v>5</v>
      </c>
      <c r="F25" s="6">
        <f t="shared" si="0"/>
        <v>1.144546111111111E-2</v>
      </c>
      <c r="G25" s="6">
        <f t="shared" si="1"/>
        <v>2.2890922222222219E-3</v>
      </c>
      <c r="H25" s="12"/>
    </row>
    <row r="26" spans="1:8" hidden="1" x14ac:dyDescent="0.3">
      <c r="A26" s="7" t="s">
        <v>27</v>
      </c>
      <c r="B26" s="2">
        <f>+$B$10/10000</f>
        <v>2.1972999999999999E-2</v>
      </c>
      <c r="C26" s="2">
        <v>0.97</v>
      </c>
      <c r="D26" s="2">
        <v>100</v>
      </c>
      <c r="E26" s="2">
        <v>5</v>
      </c>
      <c r="F26" s="6">
        <f t="shared" si="0"/>
        <v>5.9205027777777773E-3</v>
      </c>
      <c r="G26" s="6">
        <f t="shared" si="1"/>
        <v>1.1841005555555555E-3</v>
      </c>
      <c r="H26" s="12"/>
    </row>
    <row r="27" spans="1:8" hidden="1" x14ac:dyDescent="0.3">
      <c r="A27" s="7" t="s">
        <v>28</v>
      </c>
      <c r="B27" s="2">
        <f>+$B$11/10000</f>
        <v>4.7950000000000007E-3</v>
      </c>
      <c r="C27" s="2">
        <v>0.97</v>
      </c>
      <c r="D27" s="2">
        <v>100</v>
      </c>
      <c r="E27" s="2">
        <v>1</v>
      </c>
      <c r="F27" s="6">
        <f t="shared" si="0"/>
        <v>1.2919861111111114E-3</v>
      </c>
      <c r="G27" s="6">
        <f t="shared" si="1"/>
        <v>1.2919861111111114E-3</v>
      </c>
      <c r="H27" s="12"/>
    </row>
    <row r="28" spans="1:8" hidden="1" x14ac:dyDescent="0.3">
      <c r="A28" s="7" t="s">
        <v>29</v>
      </c>
      <c r="B28" s="2">
        <f>+$B$12/10000</f>
        <v>2.1274000000000001E-2</v>
      </c>
      <c r="C28" s="2">
        <v>0.97</v>
      </c>
      <c r="D28" s="2">
        <v>100</v>
      </c>
      <c r="E28" s="2">
        <v>5</v>
      </c>
      <c r="F28" s="6">
        <f t="shared" si="0"/>
        <v>5.7321611111111111E-3</v>
      </c>
      <c r="G28" s="6">
        <f t="shared" si="1"/>
        <v>1.1464322222222221E-3</v>
      </c>
      <c r="H28" s="12"/>
    </row>
    <row r="29" spans="1:8" hidden="1" x14ac:dyDescent="0.3">
      <c r="A29" s="7" t="s">
        <v>30</v>
      </c>
      <c r="B29" s="2">
        <f>+$B$13/10000</f>
        <v>1.2844E-2</v>
      </c>
      <c r="C29" s="2">
        <v>0.97</v>
      </c>
      <c r="D29" s="2">
        <v>100</v>
      </c>
      <c r="E29" s="2">
        <v>2</v>
      </c>
      <c r="F29" s="6">
        <f t="shared" si="0"/>
        <v>3.4607444444444443E-3</v>
      </c>
      <c r="G29" s="6">
        <f t="shared" si="1"/>
        <v>1.7303722222222222E-3</v>
      </c>
      <c r="H29" s="12"/>
    </row>
    <row r="30" spans="1:8" hidden="1" x14ac:dyDescent="0.3">
      <c r="A30" s="7" t="s">
        <v>31</v>
      </c>
      <c r="B30" s="2">
        <f>+$B$14/10000</f>
        <v>3.3408E-2</v>
      </c>
      <c r="C30" s="2">
        <v>0.97</v>
      </c>
      <c r="D30" s="2">
        <v>100</v>
      </c>
      <c r="E30" s="2">
        <v>7</v>
      </c>
      <c r="F30" s="6">
        <f t="shared" si="0"/>
        <v>9.0016000000000002E-3</v>
      </c>
      <c r="G30" s="6">
        <f t="shared" si="1"/>
        <v>1.2859428571428571E-3</v>
      </c>
      <c r="H30" s="12"/>
    </row>
    <row r="31" spans="1:8" hidden="1" x14ac:dyDescent="0.3">
      <c r="A31" s="7" t="s">
        <v>32</v>
      </c>
      <c r="B31" s="2">
        <f>+$B$15/10000</f>
        <v>1.4775E-2</v>
      </c>
      <c r="C31" s="2">
        <v>0.97</v>
      </c>
      <c r="D31" s="2">
        <v>100</v>
      </c>
      <c r="E31" s="2">
        <v>2</v>
      </c>
      <c r="F31" s="6">
        <f t="shared" si="0"/>
        <v>3.9810416666666666E-3</v>
      </c>
      <c r="G31" s="6">
        <f t="shared" si="1"/>
        <v>1.9905208333333333E-3</v>
      </c>
      <c r="H31" s="12"/>
    </row>
    <row r="32" spans="1:8" hidden="1" x14ac:dyDescent="0.3">
      <c r="E32" s="30" t="s">
        <v>95</v>
      </c>
      <c r="F32" s="6">
        <f>SUM(F21:F31)</f>
        <v>6.2858694444444446E-2</v>
      </c>
    </row>
    <row r="33" spans="1:11" hidden="1" x14ac:dyDescent="0.3"/>
    <row r="35" spans="1:11" ht="18" x14ac:dyDescent="0.35">
      <c r="A35" s="26" t="s">
        <v>119</v>
      </c>
    </row>
    <row r="36" spans="1:11" x14ac:dyDescent="0.3">
      <c r="B36" s="2" t="s">
        <v>20</v>
      </c>
      <c r="C36" s="2" t="s">
        <v>13</v>
      </c>
      <c r="D36" s="2" t="s">
        <v>17</v>
      </c>
      <c r="E36" s="2" t="s">
        <v>22</v>
      </c>
      <c r="F36" s="2" t="s">
        <v>18</v>
      </c>
      <c r="G36" s="2" t="s">
        <v>19</v>
      </c>
      <c r="H36" s="11"/>
    </row>
    <row r="37" spans="1:11" x14ac:dyDescent="0.3">
      <c r="A37" s="2" t="s">
        <v>125</v>
      </c>
      <c r="B37" s="2">
        <f>110*1.25/10000</f>
        <v>1.375E-2</v>
      </c>
      <c r="C37" s="2">
        <v>0.97</v>
      </c>
      <c r="D37" s="2">
        <v>100</v>
      </c>
      <c r="E37" s="19">
        <v>1</v>
      </c>
      <c r="F37" s="6">
        <f>+B37*C37*D37/360</f>
        <v>3.704861111111111E-3</v>
      </c>
      <c r="G37" s="6"/>
      <c r="H37" s="12"/>
    </row>
    <row r="38" spans="1:11" x14ac:dyDescent="0.3">
      <c r="A38" s="11"/>
      <c r="B38" s="11"/>
      <c r="C38" s="11"/>
      <c r="D38" s="11"/>
      <c r="E38" s="11"/>
      <c r="F38" s="12"/>
      <c r="G38" s="12"/>
      <c r="H38" s="12"/>
    </row>
    <row r="39" spans="1:11" s="34" customFormat="1" x14ac:dyDescent="0.3">
      <c r="F39" s="4" t="s">
        <v>43</v>
      </c>
      <c r="G39" s="43">
        <f>+F37</f>
        <v>3.704861111111111E-3</v>
      </c>
      <c r="H39" s="44"/>
    </row>
    <row r="40" spans="1:11" x14ac:dyDescent="0.3">
      <c r="A40" s="1" t="s">
        <v>33</v>
      </c>
      <c r="B40" s="1"/>
      <c r="C40" s="1"/>
    </row>
    <row r="41" spans="1:11" x14ac:dyDescent="0.3">
      <c r="A41" s="5" t="s">
        <v>34</v>
      </c>
      <c r="B41" s="14">
        <f>+G39</f>
        <v>3.704861111111111E-3</v>
      </c>
      <c r="C41" t="s">
        <v>15</v>
      </c>
    </row>
    <row r="42" spans="1:11" x14ac:dyDescent="0.3">
      <c r="A42" s="5" t="s">
        <v>44</v>
      </c>
      <c r="B42" s="7">
        <v>1.2999999999999999E-2</v>
      </c>
    </row>
    <row r="43" spans="1:11" x14ac:dyDescent="0.3">
      <c r="A43" s="5" t="s">
        <v>35</v>
      </c>
      <c r="B43" s="7">
        <v>0</v>
      </c>
    </row>
    <row r="44" spans="1:11" x14ac:dyDescent="0.3">
      <c r="A44" s="5" t="s">
        <v>36</v>
      </c>
      <c r="B44" s="7">
        <v>0.3</v>
      </c>
      <c r="C44" t="s">
        <v>49</v>
      </c>
    </row>
    <row r="45" spans="1:11" x14ac:dyDescent="0.3">
      <c r="A45" s="5" t="s">
        <v>38</v>
      </c>
      <c r="B45" s="7">
        <v>0.01</v>
      </c>
      <c r="C45" t="s">
        <v>50</v>
      </c>
    </row>
    <row r="46" spans="1:11" x14ac:dyDescent="0.3">
      <c r="A46" s="5" t="s">
        <v>64</v>
      </c>
      <c r="B46" s="7">
        <v>0.36</v>
      </c>
      <c r="C46" t="s">
        <v>49</v>
      </c>
      <c r="G46" s="13"/>
      <c r="H46" s="13"/>
    </row>
    <row r="48" spans="1:11" x14ac:dyDescent="0.3">
      <c r="A48" s="8" t="s">
        <v>37</v>
      </c>
      <c r="B48" s="2" t="s">
        <v>38</v>
      </c>
      <c r="C48" s="5" t="s">
        <v>39</v>
      </c>
      <c r="D48" s="5" t="s">
        <v>40</v>
      </c>
      <c r="E48" s="5" t="s">
        <v>41</v>
      </c>
      <c r="F48" s="5" t="s">
        <v>34</v>
      </c>
      <c r="G48" s="17" t="s">
        <v>45</v>
      </c>
      <c r="H48" s="8" t="s">
        <v>60</v>
      </c>
      <c r="I48" s="17" t="s">
        <v>46</v>
      </c>
      <c r="J48" s="8" t="s">
        <v>101</v>
      </c>
      <c r="K48" s="8" t="s">
        <v>96</v>
      </c>
    </row>
    <row r="49" spans="1:11" x14ac:dyDescent="0.3">
      <c r="A49" s="9">
        <v>2.468217059011461E-2</v>
      </c>
      <c r="B49" s="4">
        <f>+B45</f>
        <v>0.01</v>
      </c>
      <c r="C49" s="2">
        <f>+A49*B44</f>
        <v>7.4046511770343828E-3</v>
      </c>
      <c r="D49" s="2">
        <f>+B44+2*A49</f>
        <v>0.34936434118022919</v>
      </c>
      <c r="E49" s="2">
        <f>C49/D49</f>
        <v>2.1194639246867184E-2</v>
      </c>
      <c r="F49" s="2">
        <f>C49*(E49^(2/3))*(B49^(1/2))/B42</f>
        <v>4.3622639276745569E-3</v>
      </c>
      <c r="G49" s="31">
        <f>ROUND(A49,2)</f>
        <v>0.02</v>
      </c>
      <c r="H49" s="20">
        <f>+ROUND(G49,4)*100</f>
        <v>2</v>
      </c>
      <c r="I49" s="2">
        <f>4/5*B46</f>
        <v>0.28799999999999998</v>
      </c>
      <c r="J49" s="9">
        <f>+(B46-G49)*100</f>
        <v>34</v>
      </c>
      <c r="K49" s="20">
        <f>+B41/C49</f>
        <v>0.50034242296271614</v>
      </c>
    </row>
    <row r="51" spans="1:11" x14ac:dyDescent="0.3">
      <c r="F51" s="1" t="s">
        <v>47</v>
      </c>
      <c r="G51" s="1"/>
      <c r="H51" s="1"/>
      <c r="I51" s="1" t="str">
        <f>IF(G49&lt;I49,"CUMPLE","NO CUMPLE")</f>
        <v>CUMPLE</v>
      </c>
      <c r="J51" s="1"/>
    </row>
    <row r="52" spans="1:11" x14ac:dyDescent="0.3">
      <c r="F52" s="1" t="s">
        <v>97</v>
      </c>
      <c r="G52" s="1"/>
      <c r="I52" s="1" t="str">
        <f>+IF(K49&lt;3,"CUMPLE","Verificar Ancho")</f>
        <v>CUMPLE</v>
      </c>
      <c r="J52" s="1"/>
    </row>
    <row r="53" spans="1:11" x14ac:dyDescent="0.3">
      <c r="F53" s="1"/>
      <c r="G53" s="1"/>
      <c r="I53" s="1"/>
      <c r="J53" s="1"/>
    </row>
    <row r="54" spans="1:11" x14ac:dyDescent="0.3">
      <c r="F54" s="1"/>
      <c r="G54" s="1"/>
      <c r="H54" s="1"/>
      <c r="I54" s="1"/>
      <c r="J54" s="1"/>
    </row>
    <row r="55" spans="1:11" ht="18" x14ac:dyDescent="0.35">
      <c r="A55" s="26" t="s">
        <v>120</v>
      </c>
    </row>
    <row r="56" spans="1:11" x14ac:dyDescent="0.3">
      <c r="B56" s="2" t="s">
        <v>20</v>
      </c>
      <c r="C56" s="2" t="s">
        <v>13</v>
      </c>
      <c r="D56" s="2" t="s">
        <v>17</v>
      </c>
      <c r="E56" s="2" t="s">
        <v>22</v>
      </c>
      <c r="F56" s="2" t="s">
        <v>18</v>
      </c>
      <c r="G56" s="2" t="s">
        <v>19</v>
      </c>
      <c r="H56" s="11"/>
    </row>
    <row r="57" spans="1:11" x14ac:dyDescent="0.3">
      <c r="A57" s="2" t="s">
        <v>126</v>
      </c>
      <c r="B57" s="2">
        <f>76*1.25/10000</f>
        <v>9.4999999999999998E-3</v>
      </c>
      <c r="C57" s="2">
        <v>0.97</v>
      </c>
      <c r="D57" s="2">
        <v>100</v>
      </c>
      <c r="E57" s="19">
        <v>1</v>
      </c>
      <c r="F57" s="6">
        <f>+B57*C57*D57/360</f>
        <v>2.5597222222222219E-3</v>
      </c>
      <c r="G57" s="6"/>
      <c r="H57" s="12"/>
    </row>
    <row r="58" spans="1:11" x14ac:dyDescent="0.3">
      <c r="A58" s="11"/>
      <c r="B58" s="11"/>
      <c r="C58" s="11"/>
      <c r="D58" s="11"/>
      <c r="E58" s="11"/>
      <c r="F58" s="12"/>
      <c r="G58" s="12"/>
      <c r="H58" s="12"/>
    </row>
    <row r="59" spans="1:11" s="38" customFormat="1" x14ac:dyDescent="0.3">
      <c r="F59" s="39" t="s">
        <v>43</v>
      </c>
      <c r="G59" s="40">
        <f>+F57</f>
        <v>2.5597222222222219E-3</v>
      </c>
      <c r="H59" s="41"/>
    </row>
    <row r="60" spans="1:11" x14ac:dyDescent="0.3">
      <c r="A60" s="1" t="s">
        <v>33</v>
      </c>
      <c r="B60" s="1"/>
      <c r="C60" s="1"/>
    </row>
    <row r="61" spans="1:11" x14ac:dyDescent="0.3">
      <c r="A61" s="5" t="s">
        <v>34</v>
      </c>
      <c r="B61" s="14">
        <f>+G59</f>
        <v>2.5597222222222219E-3</v>
      </c>
      <c r="C61" t="s">
        <v>15</v>
      </c>
    </row>
    <row r="62" spans="1:11" x14ac:dyDescent="0.3">
      <c r="A62" s="5" t="s">
        <v>44</v>
      </c>
      <c r="B62" s="7">
        <v>1.2999999999999999E-2</v>
      </c>
    </row>
    <row r="63" spans="1:11" x14ac:dyDescent="0.3">
      <c r="A63" s="5" t="s">
        <v>35</v>
      </c>
      <c r="B63" s="7">
        <v>0</v>
      </c>
    </row>
    <row r="64" spans="1:11" x14ac:dyDescent="0.3">
      <c r="A64" s="5" t="s">
        <v>36</v>
      </c>
      <c r="B64" s="7">
        <v>0.3</v>
      </c>
      <c r="C64" t="s">
        <v>49</v>
      </c>
    </row>
    <row r="65" spans="1:11" x14ac:dyDescent="0.3">
      <c r="A65" s="5" t="s">
        <v>38</v>
      </c>
      <c r="B65" s="7">
        <v>0.01</v>
      </c>
      <c r="C65" t="s">
        <v>50</v>
      </c>
    </row>
    <row r="66" spans="1:11" x14ac:dyDescent="0.3">
      <c r="A66" s="5" t="s">
        <v>64</v>
      </c>
      <c r="B66" s="7">
        <v>0.3</v>
      </c>
      <c r="C66" t="s">
        <v>49</v>
      </c>
      <c r="G66" s="13"/>
      <c r="H66" s="13"/>
    </row>
    <row r="68" spans="1:11" x14ac:dyDescent="0.3">
      <c r="A68" s="8" t="s">
        <v>37</v>
      </c>
      <c r="B68" s="2" t="s">
        <v>38</v>
      </c>
      <c r="C68" s="5" t="s">
        <v>39</v>
      </c>
      <c r="D68" s="5" t="s">
        <v>40</v>
      </c>
      <c r="E68" s="5" t="s">
        <v>41</v>
      </c>
      <c r="F68" s="5" t="s">
        <v>34</v>
      </c>
      <c r="G68" s="17" t="s">
        <v>45</v>
      </c>
      <c r="H68" s="8" t="s">
        <v>60</v>
      </c>
      <c r="I68" s="17" t="s">
        <v>46</v>
      </c>
      <c r="J68" s="8" t="s">
        <v>101</v>
      </c>
      <c r="K68" s="8" t="s">
        <v>96</v>
      </c>
    </row>
    <row r="69" spans="1:11" x14ac:dyDescent="0.3">
      <c r="A69" s="9">
        <v>1.9135615401324808E-2</v>
      </c>
      <c r="B69" s="4">
        <f>+B65</f>
        <v>0.01</v>
      </c>
      <c r="C69" s="2">
        <f>+A69*B64</f>
        <v>5.740684620397442E-3</v>
      </c>
      <c r="D69" s="2">
        <f>+B64+2*A69</f>
        <v>0.33827123080264959</v>
      </c>
      <c r="E69" s="2">
        <f>C69/D69</f>
        <v>1.6970655786411253E-2</v>
      </c>
      <c r="F69" s="2">
        <f>C69*(E69^(2/3))*(B69^(1/2))/B62</f>
        <v>2.9162141930273422E-3</v>
      </c>
      <c r="G69" s="31">
        <f>ROUND(A69,2)</f>
        <v>0.02</v>
      </c>
      <c r="H69" s="20">
        <f>+ROUND(G69,4)*100</f>
        <v>2</v>
      </c>
      <c r="I69" s="2">
        <f>4/5*B66</f>
        <v>0.24</v>
      </c>
      <c r="J69" s="9">
        <f>+(B66-G69)*100</f>
        <v>27.999999999999996</v>
      </c>
      <c r="K69" s="20">
        <f>+B61/C69</f>
        <v>0.44589145572066036</v>
      </c>
    </row>
    <row r="71" spans="1:11" x14ac:dyDescent="0.3">
      <c r="F71" s="1" t="s">
        <v>47</v>
      </c>
      <c r="G71" s="1"/>
      <c r="H71" s="1"/>
      <c r="I71" s="1" t="str">
        <f>IF(G69&lt;I69,"CUMPLE","NO CUMPLE")</f>
        <v>CUMPLE</v>
      </c>
      <c r="J71" s="1"/>
    </row>
    <row r="72" spans="1:11" x14ac:dyDescent="0.3">
      <c r="F72" s="1" t="s">
        <v>97</v>
      </c>
      <c r="G72" s="1"/>
      <c r="I72" s="1" t="str">
        <f>+IF(K69&lt;3,"CUMPLE","Verificar Ancho")</f>
        <v>CUMPLE</v>
      </c>
      <c r="J72" s="1"/>
    </row>
    <row r="74" spans="1:11" ht="18" x14ac:dyDescent="0.35">
      <c r="A74" s="10" t="s">
        <v>162</v>
      </c>
    </row>
    <row r="75" spans="1:11" x14ac:dyDescent="0.3">
      <c r="B75" s="2" t="s">
        <v>20</v>
      </c>
      <c r="C75" s="2" t="s">
        <v>13</v>
      </c>
      <c r="D75" s="2" t="s">
        <v>17</v>
      </c>
      <c r="E75" s="2" t="s">
        <v>22</v>
      </c>
      <c r="F75" s="2" t="s">
        <v>18</v>
      </c>
      <c r="G75" s="2" t="s">
        <v>19</v>
      </c>
      <c r="H75" s="11"/>
    </row>
    <row r="76" spans="1:11" x14ac:dyDescent="0.3">
      <c r="A76" s="2" t="s">
        <v>54</v>
      </c>
      <c r="B76" s="47"/>
      <c r="C76" s="48"/>
      <c r="D76" s="48"/>
      <c r="E76" s="49"/>
      <c r="F76" s="6">
        <f>+B41+B61</f>
        <v>6.2645833333333329E-3</v>
      </c>
      <c r="G76" s="2"/>
      <c r="H76" s="11"/>
    </row>
    <row r="77" spans="1:11" x14ac:dyDescent="0.3">
      <c r="A77" s="7" t="s">
        <v>28</v>
      </c>
      <c r="B77" s="2">
        <f>+'SIST. 1_P3'!$B$11/10000</f>
        <v>4.7950000000000007E-3</v>
      </c>
      <c r="C77" s="2">
        <v>0.97</v>
      </c>
      <c r="D77" s="2">
        <v>100</v>
      </c>
      <c r="E77" s="2"/>
      <c r="F77" s="6">
        <f>+B77*C77*D77/360</f>
        <v>1.2919861111111114E-3</v>
      </c>
      <c r="G77" s="6"/>
      <c r="H77" s="12"/>
    </row>
    <row r="78" spans="1:11" x14ac:dyDescent="0.3">
      <c r="A78" s="7" t="s">
        <v>29</v>
      </c>
      <c r="B78" s="2">
        <f>+'SIST. 1_P3'!$B$12/10000</f>
        <v>2.1274000000000001E-2</v>
      </c>
      <c r="C78" s="2">
        <v>0.97</v>
      </c>
      <c r="D78" s="2">
        <v>100</v>
      </c>
      <c r="E78" s="2"/>
      <c r="F78" s="6">
        <f>+B78*C78*D78/360</f>
        <v>5.7321611111111111E-3</v>
      </c>
      <c r="G78" s="6"/>
      <c r="H78" s="12"/>
    </row>
    <row r="79" spans="1:11" x14ac:dyDescent="0.3">
      <c r="A79" s="2" t="s">
        <v>91</v>
      </c>
      <c r="B79" s="2">
        <f>(32+13)/10000</f>
        <v>4.4999999999999997E-3</v>
      </c>
      <c r="C79" s="2">
        <v>0.97</v>
      </c>
      <c r="D79" s="2">
        <v>100</v>
      </c>
      <c r="E79" s="19">
        <v>1</v>
      </c>
      <c r="F79" s="6">
        <f>+B79*C79*D79/360</f>
        <v>1.2125E-3</v>
      </c>
      <c r="G79" s="6"/>
      <c r="H79" s="12"/>
    </row>
    <row r="80" spans="1:11" x14ac:dyDescent="0.3">
      <c r="A80" s="11"/>
      <c r="B80" s="11"/>
      <c r="C80" s="11"/>
      <c r="D80" s="11"/>
      <c r="E80" s="11"/>
      <c r="F80" s="12"/>
      <c r="G80" s="12"/>
      <c r="H80" s="12"/>
    </row>
    <row r="81" spans="1:11" s="38" customFormat="1" x14ac:dyDescent="0.3">
      <c r="F81" s="39" t="s">
        <v>43</v>
      </c>
      <c r="G81" s="40">
        <f>+F76+F77+F78+F79</f>
        <v>1.4501230555555555E-2</v>
      </c>
      <c r="H81" s="41"/>
    </row>
    <row r="82" spans="1:11" x14ac:dyDescent="0.3">
      <c r="A82" s="1" t="s">
        <v>33</v>
      </c>
      <c r="B82" s="1"/>
      <c r="C82" s="1"/>
    </row>
    <row r="83" spans="1:11" x14ac:dyDescent="0.3">
      <c r="A83" s="5" t="s">
        <v>34</v>
      </c>
      <c r="B83" s="14">
        <f>+G81</f>
        <v>1.4501230555555555E-2</v>
      </c>
      <c r="C83" t="s">
        <v>15</v>
      </c>
    </row>
    <row r="84" spans="1:11" x14ac:dyDescent="0.3">
      <c r="A84" s="5" t="s">
        <v>44</v>
      </c>
      <c r="B84" s="7">
        <v>1.2999999999999999E-2</v>
      </c>
    </row>
    <row r="85" spans="1:11" x14ac:dyDescent="0.3">
      <c r="A85" s="5" t="s">
        <v>35</v>
      </c>
      <c r="B85" s="7">
        <v>0</v>
      </c>
    </row>
    <row r="86" spans="1:11" x14ac:dyDescent="0.3">
      <c r="A86" s="5" t="s">
        <v>36</v>
      </c>
      <c r="B86" s="7">
        <v>0.2</v>
      </c>
      <c r="C86" t="s">
        <v>49</v>
      </c>
    </row>
    <row r="87" spans="1:11" x14ac:dyDescent="0.3">
      <c r="A87" s="5" t="s">
        <v>38</v>
      </c>
      <c r="B87" s="7">
        <v>5.0000000000000001E-3</v>
      </c>
      <c r="C87" t="s">
        <v>50</v>
      </c>
    </row>
    <row r="88" spans="1:11" x14ac:dyDescent="0.3">
      <c r="A88" s="5" t="s">
        <v>64</v>
      </c>
      <c r="B88" s="7">
        <v>0.3</v>
      </c>
      <c r="C88" t="s">
        <v>49</v>
      </c>
      <c r="G88" s="13"/>
      <c r="H88" s="13"/>
    </row>
    <row r="90" spans="1:11" x14ac:dyDescent="0.3">
      <c r="A90" s="8" t="s">
        <v>37</v>
      </c>
      <c r="B90" s="2" t="s">
        <v>38</v>
      </c>
      <c r="C90" s="5" t="s">
        <v>39</v>
      </c>
      <c r="D90" s="5" t="s">
        <v>40</v>
      </c>
      <c r="E90" s="5" t="s">
        <v>41</v>
      </c>
      <c r="F90" s="5" t="s">
        <v>34</v>
      </c>
      <c r="G90" s="17" t="s">
        <v>45</v>
      </c>
      <c r="H90" s="8" t="s">
        <v>60</v>
      </c>
      <c r="I90" s="17" t="s">
        <v>46</v>
      </c>
      <c r="J90" s="8" t="s">
        <v>101</v>
      </c>
      <c r="K90" s="8" t="s">
        <v>96</v>
      </c>
    </row>
    <row r="91" spans="1:11" x14ac:dyDescent="0.3">
      <c r="A91" s="9">
        <v>9.8850656711336832E-2</v>
      </c>
      <c r="B91" s="4">
        <f>+B87</f>
        <v>5.0000000000000001E-3</v>
      </c>
      <c r="C91" s="2">
        <f>+A91*B86</f>
        <v>1.9770131342267367E-2</v>
      </c>
      <c r="D91" s="2">
        <f>+B86+2*A91</f>
        <v>0.39770131342267367</v>
      </c>
      <c r="E91" s="2">
        <f>C91/D91</f>
        <v>4.9711003396299663E-2</v>
      </c>
      <c r="F91" s="2">
        <f>C91*(E91^(2/3))*(B91^(1/2))/B84</f>
        <v>1.4538498542806842E-2</v>
      </c>
      <c r="G91" s="31">
        <f>ROUND(A91,2)</f>
        <v>0.1</v>
      </c>
      <c r="H91" s="20">
        <f>+ROUND(G91,4)*100</f>
        <v>10</v>
      </c>
      <c r="I91" s="2">
        <f>4/5*B88</f>
        <v>0.24</v>
      </c>
      <c r="J91" s="9">
        <f>+(B88-G91)*100</f>
        <v>20</v>
      </c>
      <c r="K91" s="20">
        <f>+B83/C91</f>
        <v>0.73349186732779992</v>
      </c>
    </row>
    <row r="93" spans="1:11" x14ac:dyDescent="0.3">
      <c r="F93" s="1" t="s">
        <v>47</v>
      </c>
      <c r="G93" s="1"/>
      <c r="H93" s="1"/>
      <c r="I93" s="1" t="str">
        <f>IF(G91&lt;I91,"CUMPLE","NO CUMPLE")</f>
        <v>CUMPLE</v>
      </c>
      <c r="J93" s="1"/>
    </row>
    <row r="94" spans="1:11" x14ac:dyDescent="0.3">
      <c r="F94" s="1" t="s">
        <v>97</v>
      </c>
      <c r="G94" s="1"/>
      <c r="I94" s="1" t="str">
        <f>+IF(K91&lt;3,"CUMPLE","Verificar Ancho")</f>
        <v>CUMPLE</v>
      </c>
      <c r="J94" s="1"/>
    </row>
    <row r="95" spans="1:11" x14ac:dyDescent="0.3">
      <c r="F95" s="1"/>
      <c r="G95" s="1"/>
      <c r="I95" s="1"/>
      <c r="J95" s="1"/>
    </row>
    <row r="96" spans="1:11" x14ac:dyDescent="0.3">
      <c r="F96" s="1"/>
      <c r="G96" s="1"/>
      <c r="I96" s="1"/>
      <c r="J96" s="1"/>
    </row>
    <row r="97" spans="1:10" ht="18" x14ac:dyDescent="0.35">
      <c r="A97" s="10" t="s">
        <v>163</v>
      </c>
    </row>
    <row r="98" spans="1:10" x14ac:dyDescent="0.3">
      <c r="B98" s="2" t="s">
        <v>20</v>
      </c>
      <c r="C98" s="2" t="s">
        <v>13</v>
      </c>
      <c r="D98" s="2" t="s">
        <v>17</v>
      </c>
      <c r="E98" s="2" t="s">
        <v>22</v>
      </c>
      <c r="F98" s="2" t="s">
        <v>18</v>
      </c>
      <c r="G98" s="2" t="s">
        <v>19</v>
      </c>
      <c r="H98" s="11"/>
    </row>
    <row r="99" spans="1:10" x14ac:dyDescent="0.3">
      <c r="A99" s="2" t="s">
        <v>54</v>
      </c>
      <c r="B99" s="47"/>
      <c r="C99" s="48"/>
      <c r="D99" s="48"/>
      <c r="E99" s="49"/>
      <c r="F99" s="6">
        <f>+B83</f>
        <v>1.4501230555555555E-2</v>
      </c>
      <c r="G99" s="2"/>
      <c r="H99" s="11"/>
    </row>
    <row r="100" spans="1:10" x14ac:dyDescent="0.3">
      <c r="A100" s="11"/>
      <c r="B100" s="11"/>
      <c r="C100" s="11"/>
      <c r="D100" s="11"/>
      <c r="E100" s="11"/>
      <c r="F100" s="12"/>
      <c r="G100" s="12"/>
      <c r="H100" s="12"/>
    </row>
    <row r="101" spans="1:10" x14ac:dyDescent="0.3">
      <c r="F101" s="2" t="s">
        <v>43</v>
      </c>
      <c r="G101" s="6">
        <f>+F99</f>
        <v>1.4501230555555555E-2</v>
      </c>
      <c r="H101" s="12"/>
    </row>
    <row r="102" spans="1:10" x14ac:dyDescent="0.3">
      <c r="A102" s="1" t="s">
        <v>71</v>
      </c>
      <c r="B102" s="1"/>
      <c r="C102" s="1"/>
    </row>
    <row r="103" spans="1:10" x14ac:dyDescent="0.3">
      <c r="A103" s="5" t="s">
        <v>66</v>
      </c>
      <c r="B103" s="14">
        <f>+G101</f>
        <v>1.4501230555555555E-2</v>
      </c>
      <c r="C103" t="s">
        <v>15</v>
      </c>
    </row>
    <row r="104" spans="1:10" x14ac:dyDescent="0.3">
      <c r="A104" s="5" t="s">
        <v>56</v>
      </c>
      <c r="B104" s="7">
        <v>0.01</v>
      </c>
    </row>
    <row r="105" spans="1:10" ht="18" x14ac:dyDescent="0.35">
      <c r="A105" s="21" t="s">
        <v>93</v>
      </c>
      <c r="B105" s="15">
        <f>180*PI()/180</f>
        <v>3.1415926535897931</v>
      </c>
      <c r="C105" t="s">
        <v>58</v>
      </c>
    </row>
    <row r="106" spans="1:10" x14ac:dyDescent="0.3">
      <c r="A106" s="5" t="s">
        <v>38</v>
      </c>
      <c r="B106" s="7">
        <v>0.01</v>
      </c>
      <c r="C106" t="s">
        <v>50</v>
      </c>
    </row>
    <row r="107" spans="1:10" x14ac:dyDescent="0.3">
      <c r="A107" s="23" t="s">
        <v>57</v>
      </c>
      <c r="B107" s="22">
        <v>8</v>
      </c>
      <c r="C107" t="s">
        <v>65</v>
      </c>
      <c r="G107" s="13"/>
      <c r="H107" s="13"/>
    </row>
    <row r="109" spans="1:10" x14ac:dyDescent="0.3">
      <c r="A109" s="8" t="s">
        <v>57</v>
      </c>
      <c r="B109" s="2" t="s">
        <v>38</v>
      </c>
      <c r="C109" s="5" t="s">
        <v>39</v>
      </c>
      <c r="D109" s="5" t="s">
        <v>40</v>
      </c>
      <c r="E109" s="5" t="s">
        <v>41</v>
      </c>
      <c r="F109" s="8" t="s">
        <v>99</v>
      </c>
      <c r="G109" s="8" t="s">
        <v>96</v>
      </c>
    </row>
    <row r="110" spans="1:10" x14ac:dyDescent="0.3">
      <c r="A110" s="9">
        <f>+B107*0.0254</f>
        <v>0.20319999999999999</v>
      </c>
      <c r="B110" s="2">
        <f>+B106</f>
        <v>0.01</v>
      </c>
      <c r="C110" s="4">
        <f>+((B105-SIN(B105))*(A110)^2)/8</f>
        <v>1.6214639331119926E-2</v>
      </c>
      <c r="D110" s="2">
        <f>+B105*A110/2</f>
        <v>0.31918581360472298</v>
      </c>
      <c r="E110" s="2">
        <f>(1-SIN(B105)/B105)*(A110)/4</f>
        <v>5.0799999999999998E-2</v>
      </c>
      <c r="F110" s="9">
        <f>C110*(E110^(2/3))*(B110^(1/2))/B104</f>
        <v>2.2240767380922424E-2</v>
      </c>
      <c r="G110" s="20">
        <f>+B103/C110</f>
        <v>0.89432951664389393</v>
      </c>
    </row>
    <row r="112" spans="1:10" x14ac:dyDescent="0.3">
      <c r="C112" s="1" t="s">
        <v>100</v>
      </c>
      <c r="D112" s="1"/>
      <c r="F112" s="1" t="str">
        <f>+IF(B103&lt;F110,"CUMPLE","NO CUMPLE")</f>
        <v>CUMPLE</v>
      </c>
      <c r="G112" s="1"/>
      <c r="H112" s="1"/>
      <c r="I112" s="1"/>
      <c r="J112" s="1"/>
    </row>
    <row r="113" spans="1:10" x14ac:dyDescent="0.3">
      <c r="C113" s="1" t="s">
        <v>98</v>
      </c>
      <c r="D113" s="1"/>
      <c r="F113" s="1" t="str">
        <f>+IF(G110&lt;5,"CUMPLE","Verificar Diametro")</f>
        <v>CUMPLE</v>
      </c>
      <c r="G113" s="1"/>
      <c r="H113" s="1"/>
      <c r="I113" s="1"/>
      <c r="J113" s="1"/>
    </row>
    <row r="114" spans="1:10" x14ac:dyDescent="0.3">
      <c r="C114" s="1" t="s">
        <v>69</v>
      </c>
      <c r="D114" s="1"/>
    </row>
    <row r="115" spans="1:10" x14ac:dyDescent="0.3">
      <c r="D115" s="27" t="s">
        <v>59</v>
      </c>
      <c r="E115" s="27">
        <f>IF(B103&lt;F110,A110/0.0254,"Modificar Diametro")</f>
        <v>8</v>
      </c>
      <c r="F115" s="27" t="s">
        <v>65</v>
      </c>
    </row>
    <row r="116" spans="1:10" x14ac:dyDescent="0.3">
      <c r="F116" s="1"/>
      <c r="G116" s="1"/>
      <c r="H116" s="1"/>
      <c r="I116" s="1"/>
      <c r="J116" s="1"/>
    </row>
    <row r="117" spans="1:10" x14ac:dyDescent="0.3">
      <c r="F117" s="1"/>
      <c r="G117" s="1"/>
      <c r="H117" s="1"/>
      <c r="I117" s="1"/>
      <c r="J117" s="1"/>
    </row>
    <row r="118" spans="1:10" ht="18" x14ac:dyDescent="0.35">
      <c r="A118" s="10" t="s">
        <v>164</v>
      </c>
    </row>
    <row r="119" spans="1:10" x14ac:dyDescent="0.3">
      <c r="B119" s="2" t="s">
        <v>20</v>
      </c>
      <c r="C119" s="2" t="s">
        <v>13</v>
      </c>
      <c r="D119" s="2" t="s">
        <v>17</v>
      </c>
      <c r="E119" s="2" t="s">
        <v>22</v>
      </c>
      <c r="F119" s="2" t="s">
        <v>18</v>
      </c>
      <c r="G119" s="2" t="s">
        <v>19</v>
      </c>
      <c r="H119" s="11"/>
    </row>
    <row r="120" spans="1:10" x14ac:dyDescent="0.3">
      <c r="A120" s="2" t="s">
        <v>54</v>
      </c>
      <c r="B120" s="47"/>
      <c r="C120" s="48"/>
      <c r="D120" s="48"/>
      <c r="E120" s="49"/>
      <c r="F120" s="6">
        <f>+B103</f>
        <v>1.4501230555555555E-2</v>
      </c>
      <c r="G120" s="2"/>
      <c r="H120" s="11"/>
    </row>
    <row r="121" spans="1:10" x14ac:dyDescent="0.3">
      <c r="A121" s="7" t="s">
        <v>30</v>
      </c>
      <c r="B121" s="2">
        <f>+'SIST. 1_P3'!$B$13/10000</f>
        <v>1.2844E-2</v>
      </c>
      <c r="C121" s="2">
        <v>0.97</v>
      </c>
      <c r="D121" s="2">
        <v>100</v>
      </c>
      <c r="E121" s="2"/>
      <c r="F121" s="6">
        <f>+B121*C121*D121/360</f>
        <v>3.4607444444444443E-3</v>
      </c>
      <c r="G121" s="6"/>
      <c r="H121" s="12"/>
    </row>
    <row r="122" spans="1:10" x14ac:dyDescent="0.3">
      <c r="A122" s="2" t="s">
        <v>63</v>
      </c>
      <c r="B122" s="2">
        <f>34/10000</f>
        <v>3.3999999999999998E-3</v>
      </c>
      <c r="C122" s="2">
        <v>0.97</v>
      </c>
      <c r="D122" s="2">
        <v>100</v>
      </c>
      <c r="E122" s="19">
        <v>1</v>
      </c>
      <c r="F122" s="6">
        <f>+B122*C122*D122/360</f>
        <v>9.1611111111111103E-4</v>
      </c>
      <c r="G122" s="6"/>
      <c r="H122" s="12"/>
    </row>
    <row r="123" spans="1:10" x14ac:dyDescent="0.3">
      <c r="A123" s="2" t="s">
        <v>55</v>
      </c>
      <c r="B123" s="2">
        <f>31.22/10000</f>
        <v>3.1219999999999998E-3</v>
      </c>
      <c r="C123" s="2">
        <v>0.97</v>
      </c>
      <c r="D123" s="2">
        <v>100</v>
      </c>
      <c r="E123" s="19">
        <v>1</v>
      </c>
      <c r="F123" s="6">
        <f>+B123*C123*D123/360</f>
        <v>8.4120555555555537E-4</v>
      </c>
      <c r="G123" s="6"/>
      <c r="H123" s="12"/>
    </row>
    <row r="124" spans="1:10" x14ac:dyDescent="0.3">
      <c r="A124" s="11"/>
      <c r="B124" s="11"/>
      <c r="C124" s="11"/>
      <c r="D124" s="11"/>
      <c r="E124" s="11"/>
      <c r="F124" s="12"/>
      <c r="G124" s="12"/>
      <c r="H124" s="12"/>
    </row>
    <row r="125" spans="1:10" x14ac:dyDescent="0.3">
      <c r="F125" s="2" t="s">
        <v>43</v>
      </c>
      <c r="G125" s="6">
        <f>+F120+F122+F121+F123</f>
        <v>1.9719291666666663E-2</v>
      </c>
      <c r="H125" s="12"/>
    </row>
    <row r="126" spans="1:10" x14ac:dyDescent="0.3">
      <c r="A126" s="1" t="s">
        <v>33</v>
      </c>
      <c r="B126" s="1"/>
      <c r="C126" s="1"/>
    </row>
    <row r="127" spans="1:10" x14ac:dyDescent="0.3">
      <c r="A127" s="5" t="s">
        <v>34</v>
      </c>
      <c r="B127" s="14">
        <f>+G125</f>
        <v>1.9719291666666663E-2</v>
      </c>
      <c r="C127" t="s">
        <v>15</v>
      </c>
    </row>
    <row r="128" spans="1:10" x14ac:dyDescent="0.3">
      <c r="A128" s="5" t="s">
        <v>44</v>
      </c>
      <c r="B128" s="7">
        <v>1.2999999999999999E-2</v>
      </c>
    </row>
    <row r="129" spans="1:13" x14ac:dyDescent="0.3">
      <c r="A129" s="5" t="s">
        <v>35</v>
      </c>
      <c r="B129" s="7">
        <v>0</v>
      </c>
    </row>
    <row r="130" spans="1:13" x14ac:dyDescent="0.3">
      <c r="A130" s="5" t="s">
        <v>36</v>
      </c>
      <c r="B130" s="7">
        <v>0.2</v>
      </c>
      <c r="C130" t="s">
        <v>49</v>
      </c>
    </row>
    <row r="131" spans="1:13" x14ac:dyDescent="0.3">
      <c r="A131" s="5" t="s">
        <v>38</v>
      </c>
      <c r="B131" s="7">
        <v>5.0000000000000001E-3</v>
      </c>
      <c r="C131" t="s">
        <v>50</v>
      </c>
    </row>
    <row r="132" spans="1:13" x14ac:dyDescent="0.3">
      <c r="A132" s="5" t="s">
        <v>64</v>
      </c>
      <c r="B132" s="7">
        <v>0.47</v>
      </c>
      <c r="C132" t="s">
        <v>49</v>
      </c>
      <c r="G132" s="13"/>
      <c r="H132" s="13"/>
    </row>
    <row r="134" spans="1:13" x14ac:dyDescent="0.3">
      <c r="A134" s="8" t="s">
        <v>37</v>
      </c>
      <c r="B134" s="2" t="s">
        <v>38</v>
      </c>
      <c r="C134" s="5" t="s">
        <v>39</v>
      </c>
      <c r="D134" s="5" t="s">
        <v>40</v>
      </c>
      <c r="E134" s="5" t="s">
        <v>41</v>
      </c>
      <c r="F134" s="5" t="s">
        <v>34</v>
      </c>
      <c r="G134" s="17" t="s">
        <v>45</v>
      </c>
      <c r="H134" s="8" t="s">
        <v>60</v>
      </c>
      <c r="I134" s="17" t="s">
        <v>46</v>
      </c>
      <c r="J134" s="8" t="s">
        <v>101</v>
      </c>
      <c r="K134" s="8" t="s">
        <v>96</v>
      </c>
    </row>
    <row r="135" spans="1:13" x14ac:dyDescent="0.3">
      <c r="A135" s="9">
        <v>0.1202184827736307</v>
      </c>
      <c r="B135" s="4">
        <f>+B131</f>
        <v>5.0000000000000001E-3</v>
      </c>
      <c r="C135" s="2">
        <f>+A135*B130</f>
        <v>2.4043696554726143E-2</v>
      </c>
      <c r="D135" s="2">
        <f>+B130+2*A135</f>
        <v>0.44043696554726142</v>
      </c>
      <c r="E135" s="2">
        <f>C135/D135</f>
        <v>5.4590550829108637E-2</v>
      </c>
      <c r="F135" s="2">
        <f>C135*(E135^(2/3))*(B135^(1/2))/B128</f>
        <v>1.8820068758498017E-2</v>
      </c>
      <c r="G135" s="31">
        <f>ROUND(A135,2)</f>
        <v>0.12</v>
      </c>
      <c r="H135" s="20">
        <f>+ROUND(G135,4)*100</f>
        <v>12</v>
      </c>
      <c r="I135" s="2">
        <f>4/5*B132</f>
        <v>0.376</v>
      </c>
      <c r="J135" s="9">
        <f>+(B132-G135)*100</f>
        <v>35</v>
      </c>
      <c r="K135" s="20">
        <f>+B127/C135</f>
        <v>0.8201439251149818</v>
      </c>
    </row>
    <row r="137" spans="1:13" x14ac:dyDescent="0.3">
      <c r="F137" s="1" t="s">
        <v>47</v>
      </c>
      <c r="G137" s="1"/>
      <c r="H137" s="1"/>
      <c r="I137" s="1" t="str">
        <f>IF(G135&lt;I135,"CUMPLE","NO CUMPLE")</f>
        <v>CUMPLE</v>
      </c>
      <c r="J137" s="1"/>
    </row>
    <row r="138" spans="1:13" x14ac:dyDescent="0.3">
      <c r="F138" s="1" t="s">
        <v>97</v>
      </c>
      <c r="G138" s="1"/>
      <c r="I138" s="1" t="str">
        <f>+IF(K135&lt;3,"CUMPLE","Verificar Ancho")</f>
        <v>CUMPLE</v>
      </c>
      <c r="J138" s="1"/>
    </row>
    <row r="139" spans="1:13" x14ac:dyDescent="0.3">
      <c r="F139" s="1"/>
      <c r="G139" s="1"/>
      <c r="I139" s="1"/>
      <c r="J139" s="1"/>
    </row>
    <row r="140" spans="1:13" x14ac:dyDescent="0.3">
      <c r="F140" s="1"/>
      <c r="G140" s="1"/>
      <c r="H140" s="1"/>
      <c r="I140" s="1"/>
      <c r="J140" s="1"/>
    </row>
    <row r="141" spans="1:13" ht="18" x14ac:dyDescent="0.35">
      <c r="A141" s="10" t="s">
        <v>165</v>
      </c>
      <c r="M141" s="10"/>
    </row>
    <row r="142" spans="1:13" x14ac:dyDescent="0.3">
      <c r="B142" s="2" t="s">
        <v>20</v>
      </c>
      <c r="C142" s="2" t="s">
        <v>13</v>
      </c>
      <c r="D142" s="2" t="s">
        <v>17</v>
      </c>
      <c r="E142" s="2" t="s">
        <v>22</v>
      </c>
      <c r="F142" s="2" t="s">
        <v>18</v>
      </c>
      <c r="G142" s="2" t="s">
        <v>19</v>
      </c>
      <c r="H142" s="11"/>
    </row>
    <row r="143" spans="1:13" x14ac:dyDescent="0.3">
      <c r="A143" s="2" t="s">
        <v>54</v>
      </c>
      <c r="B143" s="47"/>
      <c r="C143" s="48"/>
      <c r="D143" s="48"/>
      <c r="E143" s="49"/>
      <c r="F143" s="6">
        <f>+B127</f>
        <v>1.9719291666666663E-2</v>
      </c>
      <c r="G143" s="2"/>
      <c r="H143" s="11"/>
    </row>
    <row r="144" spans="1:13" x14ac:dyDescent="0.3">
      <c r="A144" s="7" t="s">
        <v>31</v>
      </c>
      <c r="B144" s="2">
        <f>+'SIST. 1_P3'!$B$14/10000</f>
        <v>3.3408E-2</v>
      </c>
      <c r="C144" s="2">
        <v>0.97</v>
      </c>
      <c r="D144" s="2">
        <v>100</v>
      </c>
      <c r="E144" s="2"/>
      <c r="F144" s="6">
        <f>+B144*C144*D144/360</f>
        <v>9.0016000000000002E-3</v>
      </c>
      <c r="G144" s="6"/>
      <c r="H144" s="12"/>
    </row>
    <row r="145" spans="1:20" x14ac:dyDescent="0.3">
      <c r="A145" s="2" t="s">
        <v>42</v>
      </c>
      <c r="B145" s="2">
        <f>75.52/10000</f>
        <v>7.5519999999999997E-3</v>
      </c>
      <c r="C145" s="2">
        <v>0.97</v>
      </c>
      <c r="D145" s="2">
        <v>100</v>
      </c>
      <c r="E145" s="19">
        <v>1</v>
      </c>
      <c r="F145" s="6">
        <f>+B145*C145*D145/360</f>
        <v>2.0348444444444444E-3</v>
      </c>
      <c r="G145" s="6"/>
      <c r="H145" s="12"/>
    </row>
    <row r="146" spans="1:20" x14ac:dyDescent="0.3">
      <c r="A146" s="2" t="s">
        <v>53</v>
      </c>
      <c r="B146" s="2">
        <f>80/10000</f>
        <v>8.0000000000000002E-3</v>
      </c>
      <c r="C146" s="2">
        <v>0.97</v>
      </c>
      <c r="D146" s="2">
        <v>100</v>
      </c>
      <c r="E146" s="18"/>
      <c r="F146" s="6">
        <f>+B146*C146*D146/360</f>
        <v>2.1555555555555555E-3</v>
      </c>
      <c r="G146" s="6"/>
      <c r="H146" s="12"/>
    </row>
    <row r="147" spans="1:20" x14ac:dyDescent="0.3">
      <c r="A147" s="11"/>
      <c r="B147" s="11"/>
      <c r="C147" s="11"/>
      <c r="D147" s="11"/>
      <c r="E147" s="11"/>
      <c r="F147" s="12"/>
      <c r="G147" s="12"/>
      <c r="H147" s="12"/>
    </row>
    <row r="148" spans="1:20" x14ac:dyDescent="0.3">
      <c r="F148" s="2" t="s">
        <v>43</v>
      </c>
      <c r="G148" s="6">
        <f>+F143+F144+F145+F146</f>
        <v>3.2911291666666662E-2</v>
      </c>
      <c r="H148" s="12"/>
    </row>
    <row r="149" spans="1:20" x14ac:dyDescent="0.3">
      <c r="A149" s="1" t="s">
        <v>33</v>
      </c>
      <c r="B149" s="1"/>
      <c r="C149" s="1"/>
    </row>
    <row r="150" spans="1:20" x14ac:dyDescent="0.3">
      <c r="A150" s="5" t="s">
        <v>34</v>
      </c>
      <c r="B150" s="14">
        <f>+G148</f>
        <v>3.2911291666666662E-2</v>
      </c>
      <c r="C150" t="s">
        <v>15</v>
      </c>
    </row>
    <row r="151" spans="1:20" x14ac:dyDescent="0.3">
      <c r="A151" s="5" t="s">
        <v>44</v>
      </c>
      <c r="B151" s="7">
        <v>1.2999999999999999E-2</v>
      </c>
    </row>
    <row r="152" spans="1:20" x14ac:dyDescent="0.3">
      <c r="A152" s="5" t="s">
        <v>35</v>
      </c>
      <c r="B152" s="7">
        <v>0</v>
      </c>
    </row>
    <row r="153" spans="1:20" x14ac:dyDescent="0.3">
      <c r="A153" s="5" t="s">
        <v>36</v>
      </c>
      <c r="B153" s="7">
        <v>0.2</v>
      </c>
      <c r="C153" t="s">
        <v>49</v>
      </c>
    </row>
    <row r="154" spans="1:20" x14ac:dyDescent="0.3">
      <c r="A154" s="5" t="s">
        <v>38</v>
      </c>
      <c r="B154" s="7">
        <v>5.0000000000000001E-3</v>
      </c>
      <c r="C154" t="s">
        <v>50</v>
      </c>
    </row>
    <row r="155" spans="1:20" x14ac:dyDescent="0.3">
      <c r="A155" s="5" t="s">
        <v>64</v>
      </c>
      <c r="B155" s="7">
        <v>0.62</v>
      </c>
      <c r="C155" t="s">
        <v>49</v>
      </c>
    </row>
    <row r="157" spans="1:20" x14ac:dyDescent="0.3">
      <c r="A157" s="8" t="s">
        <v>37</v>
      </c>
      <c r="B157" s="2" t="s">
        <v>38</v>
      </c>
      <c r="C157" s="5" t="s">
        <v>39</v>
      </c>
      <c r="D157" s="5" t="s">
        <v>40</v>
      </c>
      <c r="E157" s="5" t="s">
        <v>41</v>
      </c>
      <c r="F157" s="5" t="s">
        <v>34</v>
      </c>
      <c r="G157" s="17" t="s">
        <v>45</v>
      </c>
      <c r="H157" s="8" t="s">
        <v>60</v>
      </c>
      <c r="I157" s="17" t="s">
        <v>61</v>
      </c>
      <c r="J157" s="8" t="s">
        <v>101</v>
      </c>
      <c r="K157" s="8" t="s">
        <v>96</v>
      </c>
    </row>
    <row r="158" spans="1:20" x14ac:dyDescent="0.3">
      <c r="A158" s="9">
        <v>0.18690725386473855</v>
      </c>
      <c r="B158" s="4">
        <f>+B154</f>
        <v>5.0000000000000001E-3</v>
      </c>
      <c r="C158" s="2">
        <f>+A158*B153</f>
        <v>3.7381450772947709E-2</v>
      </c>
      <c r="D158" s="2">
        <f>+B153+2*A158</f>
        <v>0.57381450772947717</v>
      </c>
      <c r="E158" s="2">
        <f>C158/D158</f>
        <v>6.5145530950170852E-2</v>
      </c>
      <c r="F158" s="2">
        <f>C158*(E158^(2/3))*(B158^(1/2))/B151</f>
        <v>3.2919575086816887E-2</v>
      </c>
      <c r="G158" s="31">
        <f>ROUND(A158,4)</f>
        <v>0.18690000000000001</v>
      </c>
      <c r="H158" s="20">
        <f>+ROUND(G158,4)*100</f>
        <v>18.690000000000001</v>
      </c>
      <c r="I158" s="2">
        <f>4/5*B155</f>
        <v>0.496</v>
      </c>
      <c r="J158" s="9">
        <f>+(B155-G158)*100</f>
        <v>43.309999999999995</v>
      </c>
      <c r="K158" s="20">
        <f>+B150/C158</f>
        <v>0.88041772018340114</v>
      </c>
    </row>
    <row r="160" spans="1:20" x14ac:dyDescent="0.3">
      <c r="F160" s="1" t="s">
        <v>62</v>
      </c>
      <c r="G160" s="1"/>
      <c r="H160" s="1"/>
      <c r="I160" s="1" t="str">
        <f>IF(G158&lt;I158,"CUMPLE","NO CUMPLE")</f>
        <v>CUMPLE</v>
      </c>
      <c r="J160" s="1"/>
      <c r="R160" s="1"/>
      <c r="S160" s="1"/>
      <c r="T160" s="1"/>
    </row>
    <row r="161" spans="1:10" x14ac:dyDescent="0.3">
      <c r="A161" s="1"/>
      <c r="F161" s="1" t="s">
        <v>97</v>
      </c>
      <c r="G161" s="1"/>
      <c r="I161" s="1" t="str">
        <f>+IF(K158&lt;3,"CUMPLE","Verificar Ancho")</f>
        <v>CUMPLE</v>
      </c>
      <c r="J161" s="1"/>
    </row>
    <row r="162" spans="1:10" x14ac:dyDescent="0.3">
      <c r="A162" s="1"/>
      <c r="F162" s="1"/>
      <c r="G162" s="1"/>
      <c r="I162" s="1"/>
      <c r="J162" s="1"/>
    </row>
    <row r="163" spans="1:10" x14ac:dyDescent="0.3">
      <c r="F163" s="1"/>
      <c r="G163" s="1"/>
      <c r="H163" s="1"/>
      <c r="I163" s="1"/>
      <c r="J163" s="1"/>
    </row>
    <row r="164" spans="1:10" ht="18" x14ac:dyDescent="0.35">
      <c r="A164" s="10" t="s">
        <v>166</v>
      </c>
    </row>
    <row r="165" spans="1:10" x14ac:dyDescent="0.3">
      <c r="B165" s="2" t="s">
        <v>20</v>
      </c>
      <c r="C165" s="2" t="s">
        <v>13</v>
      </c>
      <c r="D165" s="2" t="s">
        <v>17</v>
      </c>
      <c r="E165" s="2" t="s">
        <v>22</v>
      </c>
      <c r="F165" s="2" t="s">
        <v>18</v>
      </c>
      <c r="G165" s="2" t="s">
        <v>19</v>
      </c>
      <c r="H165" s="11"/>
    </row>
    <row r="166" spans="1:10" x14ac:dyDescent="0.3">
      <c r="A166" s="2" t="s">
        <v>54</v>
      </c>
      <c r="B166" s="47"/>
      <c r="C166" s="48"/>
      <c r="D166" s="48"/>
      <c r="E166" s="49"/>
      <c r="F166" s="6">
        <f>+B150</f>
        <v>3.2911291666666662E-2</v>
      </c>
      <c r="G166" s="2"/>
      <c r="H166" s="11"/>
    </row>
    <row r="167" spans="1:10" x14ac:dyDescent="0.3">
      <c r="A167" s="11"/>
      <c r="B167" s="11"/>
      <c r="C167" s="11"/>
      <c r="D167" s="11"/>
      <c r="E167" s="11"/>
      <c r="F167" s="12"/>
      <c r="G167" s="12"/>
      <c r="H167" s="12"/>
    </row>
    <row r="168" spans="1:10" s="38" customFormat="1" x14ac:dyDescent="0.3">
      <c r="F168" s="39" t="s">
        <v>43</v>
      </c>
      <c r="G168" s="40">
        <f>+F166</f>
        <v>3.2911291666666662E-2</v>
      </c>
      <c r="H168" s="41"/>
    </row>
    <row r="169" spans="1:10" x14ac:dyDescent="0.3">
      <c r="A169" s="1" t="s">
        <v>71</v>
      </c>
      <c r="B169" s="1"/>
      <c r="C169" s="1"/>
    </row>
    <row r="170" spans="1:10" x14ac:dyDescent="0.3">
      <c r="A170" s="5" t="s">
        <v>66</v>
      </c>
      <c r="B170" s="14">
        <f>+G168</f>
        <v>3.2911291666666662E-2</v>
      </c>
      <c r="C170" t="s">
        <v>15</v>
      </c>
    </row>
    <row r="171" spans="1:10" x14ac:dyDescent="0.3">
      <c r="A171" s="5" t="s">
        <v>56</v>
      </c>
      <c r="B171" s="7">
        <v>0.01</v>
      </c>
    </row>
    <row r="172" spans="1:10" ht="18" x14ac:dyDescent="0.35">
      <c r="A172" s="21" t="s">
        <v>93</v>
      </c>
      <c r="B172" s="15">
        <f>180*PI()/180</f>
        <v>3.1415926535897931</v>
      </c>
      <c r="C172" t="s">
        <v>58</v>
      </c>
    </row>
    <row r="173" spans="1:10" x14ac:dyDescent="0.3">
      <c r="A173" s="5" t="s">
        <v>38</v>
      </c>
      <c r="B173" s="7">
        <v>4.36E-2</v>
      </c>
      <c r="C173" t="s">
        <v>50</v>
      </c>
    </row>
    <row r="174" spans="1:10" x14ac:dyDescent="0.3">
      <c r="A174" s="23" t="s">
        <v>57</v>
      </c>
      <c r="B174" s="22">
        <v>8</v>
      </c>
      <c r="C174" t="s">
        <v>65</v>
      </c>
      <c r="G174" s="13"/>
      <c r="H174" s="13"/>
    </row>
    <row r="176" spans="1:10" x14ac:dyDescent="0.3">
      <c r="A176" s="8" t="s">
        <v>57</v>
      </c>
      <c r="B176" s="2" t="s">
        <v>38</v>
      </c>
      <c r="C176" s="5" t="s">
        <v>39</v>
      </c>
      <c r="D176" s="5" t="s">
        <v>40</v>
      </c>
      <c r="E176" s="5" t="s">
        <v>41</v>
      </c>
      <c r="F176" s="8" t="s">
        <v>99</v>
      </c>
      <c r="G176" s="8" t="s">
        <v>96</v>
      </c>
    </row>
    <row r="177" spans="1:10" x14ac:dyDescent="0.3">
      <c r="A177" s="9">
        <f>+B174*0.0254</f>
        <v>0.20319999999999999</v>
      </c>
      <c r="B177" s="2">
        <f>+B173</f>
        <v>4.36E-2</v>
      </c>
      <c r="C177" s="4">
        <f>+((B172-SIN(B172))*(A177)^2)/8</f>
        <v>1.6214639331119926E-2</v>
      </c>
      <c r="D177" s="2">
        <f>+B172*A177/2</f>
        <v>0.31918581360472298</v>
      </c>
      <c r="E177" s="2">
        <f>(1-SIN(B172)/B172)*(A177)/4</f>
        <v>5.0799999999999998E-2</v>
      </c>
      <c r="F177" s="9">
        <f>C177*(E177^(2/3))*(B177^(1/2))/B171</f>
        <v>4.6440085690041967E-2</v>
      </c>
      <c r="G177" s="20">
        <f>+B170/C177</f>
        <v>2.0297270259660789</v>
      </c>
    </row>
    <row r="179" spans="1:10" x14ac:dyDescent="0.3">
      <c r="C179" s="1" t="s">
        <v>100</v>
      </c>
      <c r="D179" s="1"/>
      <c r="F179" s="1" t="str">
        <f>+IF(B170&lt;F177,"CUMPLE","NO CUMPLE")</f>
        <v>CUMPLE</v>
      </c>
      <c r="G179" s="1"/>
      <c r="H179" s="1"/>
      <c r="I179" s="1"/>
      <c r="J179" s="1"/>
    </row>
    <row r="180" spans="1:10" x14ac:dyDescent="0.3">
      <c r="C180" s="1" t="s">
        <v>98</v>
      </c>
      <c r="D180" s="1"/>
      <c r="F180" s="1" t="str">
        <f>+IF(G177&lt;5,"CUMPLE","Verificar Diametro")</f>
        <v>CUMPLE</v>
      </c>
      <c r="G180" s="1"/>
      <c r="H180" s="1"/>
      <c r="I180" s="1"/>
      <c r="J180" s="1"/>
    </row>
    <row r="181" spans="1:10" x14ac:dyDescent="0.3">
      <c r="C181" s="1" t="s">
        <v>69</v>
      </c>
      <c r="D181" s="1"/>
    </row>
    <row r="182" spans="1:10" x14ac:dyDescent="0.3">
      <c r="D182" s="27" t="s">
        <v>59</v>
      </c>
      <c r="E182" s="27">
        <f>IF(B170&lt;F177,A177/0.0254,"Modificar Diametro")</f>
        <v>8</v>
      </c>
      <c r="F182" s="27" t="s">
        <v>65</v>
      </c>
    </row>
    <row r="183" spans="1:10" x14ac:dyDescent="0.3">
      <c r="D183" s="42"/>
      <c r="E183" s="42"/>
      <c r="F183" s="42"/>
    </row>
    <row r="184" spans="1:10" x14ac:dyDescent="0.3">
      <c r="F184" s="1"/>
      <c r="G184" s="1"/>
      <c r="H184" s="1"/>
      <c r="I184" s="1"/>
      <c r="J184" s="1"/>
    </row>
    <row r="185" spans="1:10" x14ac:dyDescent="0.3">
      <c r="F185" s="1"/>
      <c r="G185" s="1"/>
      <c r="I185" s="1"/>
    </row>
    <row r="186" spans="1:10" ht="18" x14ac:dyDescent="0.35">
      <c r="A186" s="10" t="s">
        <v>167</v>
      </c>
    </row>
    <row r="187" spans="1:10" x14ac:dyDescent="0.3">
      <c r="B187" s="2" t="s">
        <v>20</v>
      </c>
      <c r="C187" s="2" t="s">
        <v>13</v>
      </c>
      <c r="D187" s="2" t="s">
        <v>17</v>
      </c>
      <c r="E187" s="2" t="s">
        <v>22</v>
      </c>
      <c r="F187" s="2" t="s">
        <v>18</v>
      </c>
      <c r="G187" s="2" t="s">
        <v>19</v>
      </c>
    </row>
    <row r="188" spans="1:10" x14ac:dyDescent="0.3">
      <c r="A188" s="2" t="s">
        <v>54</v>
      </c>
      <c r="B188" s="47"/>
      <c r="C188" s="48"/>
      <c r="D188" s="48"/>
      <c r="E188" s="49"/>
      <c r="F188" s="6">
        <f>+B170</f>
        <v>3.2911291666666662E-2</v>
      </c>
      <c r="G188" s="2"/>
    </row>
    <row r="189" spans="1:10" x14ac:dyDescent="0.3">
      <c r="A189" s="2" t="s">
        <v>86</v>
      </c>
      <c r="B189" s="2">
        <f>(116/2)/10000</f>
        <v>5.7999999999999996E-3</v>
      </c>
      <c r="C189" s="2">
        <v>0.97</v>
      </c>
      <c r="D189" s="2">
        <v>100</v>
      </c>
      <c r="E189" s="2"/>
      <c r="F189" s="6">
        <f t="shared" ref="F189:F190" si="2">+B189*C189*D189/360</f>
        <v>1.5627777777777775E-3</v>
      </c>
      <c r="G189" s="2"/>
    </row>
    <row r="190" spans="1:10" x14ac:dyDescent="0.3">
      <c r="A190" s="2" t="s">
        <v>87</v>
      </c>
      <c r="B190" s="2">
        <f>(136/2)/10000</f>
        <v>6.7999999999999996E-3</v>
      </c>
      <c r="C190" s="2">
        <v>0.97</v>
      </c>
      <c r="D190" s="2">
        <v>100</v>
      </c>
      <c r="E190" s="2"/>
      <c r="F190" s="6">
        <f t="shared" si="2"/>
        <v>1.8322222222222221E-3</v>
      </c>
      <c r="G190" s="6"/>
    </row>
    <row r="191" spans="1:10" x14ac:dyDescent="0.3">
      <c r="A191" s="11"/>
      <c r="B191" s="24"/>
      <c r="C191" s="24"/>
      <c r="D191" s="24"/>
      <c r="E191" s="24"/>
      <c r="F191" s="12"/>
      <c r="G191" s="11"/>
    </row>
    <row r="192" spans="1:10" x14ac:dyDescent="0.3">
      <c r="A192" s="11"/>
      <c r="B192" s="11"/>
      <c r="C192" s="11"/>
      <c r="D192" s="11"/>
      <c r="E192" s="11"/>
      <c r="F192" s="12"/>
      <c r="G192" s="12"/>
    </row>
    <row r="193" spans="1:11" x14ac:dyDescent="0.3">
      <c r="F193" s="2" t="s">
        <v>43</v>
      </c>
      <c r="G193" s="6">
        <f>F188++F189+F190</f>
        <v>3.6306291666666657E-2</v>
      </c>
    </row>
    <row r="195" spans="1:11" x14ac:dyDescent="0.3">
      <c r="A195" s="1" t="s">
        <v>33</v>
      </c>
      <c r="B195" s="1"/>
      <c r="C195" s="1"/>
    </row>
    <row r="196" spans="1:11" x14ac:dyDescent="0.3">
      <c r="A196" s="5" t="s">
        <v>34</v>
      </c>
      <c r="B196" s="14">
        <f>+G193</f>
        <v>3.6306291666666657E-2</v>
      </c>
      <c r="C196" t="s">
        <v>15</v>
      </c>
    </row>
    <row r="197" spans="1:11" x14ac:dyDescent="0.3">
      <c r="A197" s="5" t="s">
        <v>44</v>
      </c>
      <c r="B197" s="7">
        <v>1.2999999999999999E-2</v>
      </c>
    </row>
    <row r="198" spans="1:11" x14ac:dyDescent="0.3">
      <c r="A198" s="5" t="s">
        <v>35</v>
      </c>
      <c r="B198" s="7">
        <v>0</v>
      </c>
    </row>
    <row r="199" spans="1:11" x14ac:dyDescent="0.3">
      <c r="A199" s="5" t="s">
        <v>36</v>
      </c>
      <c r="B199" s="7">
        <v>0.2</v>
      </c>
      <c r="C199" t="s">
        <v>49</v>
      </c>
    </row>
    <row r="200" spans="1:11" x14ac:dyDescent="0.3">
      <c r="A200" s="5" t="s">
        <v>38</v>
      </c>
      <c r="B200" s="7">
        <v>0.01</v>
      </c>
      <c r="C200" t="s">
        <v>50</v>
      </c>
    </row>
    <row r="201" spans="1:11" x14ac:dyDescent="0.3">
      <c r="A201" s="5" t="s">
        <v>48</v>
      </c>
      <c r="B201" s="7">
        <v>0.95</v>
      </c>
      <c r="C201" t="s">
        <v>49</v>
      </c>
      <c r="G201" s="13"/>
      <c r="H201" s="13"/>
    </row>
    <row r="203" spans="1:11" x14ac:dyDescent="0.3">
      <c r="A203" s="8" t="s">
        <v>37</v>
      </c>
      <c r="B203" s="2" t="s">
        <v>38</v>
      </c>
      <c r="C203" s="5" t="s">
        <v>39</v>
      </c>
      <c r="D203" s="5" t="s">
        <v>40</v>
      </c>
      <c r="E203" s="5" t="s">
        <v>41</v>
      </c>
      <c r="F203" s="5" t="s">
        <v>34</v>
      </c>
      <c r="G203" s="17" t="s">
        <v>45</v>
      </c>
      <c r="H203" s="8" t="s">
        <v>60</v>
      </c>
      <c r="I203" s="17" t="s">
        <v>46</v>
      </c>
      <c r="J203" s="8" t="s">
        <v>101</v>
      </c>
      <c r="K203" s="8" t="s">
        <v>96</v>
      </c>
    </row>
    <row r="204" spans="1:11" x14ac:dyDescent="0.3">
      <c r="A204" s="9">
        <v>0.15298016462048261</v>
      </c>
      <c r="B204" s="4">
        <f>+B200</f>
        <v>0.01</v>
      </c>
      <c r="C204" s="2">
        <f>+A204*B199</f>
        <v>3.0596032924096524E-2</v>
      </c>
      <c r="D204" s="2">
        <f>+B199+2*A204</f>
        <v>0.50596032924096523</v>
      </c>
      <c r="E204" s="2">
        <f>C204/D204</f>
        <v>6.0471209215149882E-2</v>
      </c>
      <c r="F204" s="2">
        <f>C204*(E204^(2/3))*(B204^(1/2))/B197</f>
        <v>3.6259421371689651E-2</v>
      </c>
      <c r="G204" s="31">
        <f>ROUND(A204,2)</f>
        <v>0.15</v>
      </c>
      <c r="H204" s="20">
        <f>+ROUND(G204,4)*100</f>
        <v>15</v>
      </c>
      <c r="I204" s="2">
        <f>4/5*B201</f>
        <v>0.76</v>
      </c>
      <c r="J204" s="9">
        <f>+(B201-G204)*100</f>
        <v>80</v>
      </c>
      <c r="K204" s="20">
        <f>+B196/C204</f>
        <v>1.1866339586160173</v>
      </c>
    </row>
    <row r="206" spans="1:11" x14ac:dyDescent="0.3">
      <c r="F206" s="1" t="s">
        <v>47</v>
      </c>
      <c r="G206" s="1"/>
      <c r="H206" s="1"/>
      <c r="I206" s="1" t="str">
        <f>IF(G204&lt;I204,"CUMPLE","NO CUMPLE")</f>
        <v>CUMPLE</v>
      </c>
    </row>
    <row r="207" spans="1:11" x14ac:dyDescent="0.3">
      <c r="F207" s="1" t="s">
        <v>97</v>
      </c>
      <c r="G207" s="1"/>
      <c r="I207" s="1" t="str">
        <f>+IF(K204&lt;3,"CUMPLE","Verificar Ancho")</f>
        <v>CUMPLE</v>
      </c>
    </row>
    <row r="208" spans="1:11" x14ac:dyDescent="0.3">
      <c r="F208" s="1"/>
      <c r="G208" s="1"/>
      <c r="I208" s="1"/>
    </row>
    <row r="210" spans="1:7" ht="18" x14ac:dyDescent="0.35">
      <c r="A210" s="10" t="s">
        <v>168</v>
      </c>
    </row>
    <row r="211" spans="1:7" x14ac:dyDescent="0.3">
      <c r="B211" s="2" t="s">
        <v>20</v>
      </c>
      <c r="C211" s="2" t="s">
        <v>13</v>
      </c>
      <c r="D211" s="2" t="s">
        <v>17</v>
      </c>
      <c r="E211" s="2" t="s">
        <v>22</v>
      </c>
      <c r="F211" s="2" t="s">
        <v>18</v>
      </c>
      <c r="G211" s="2" t="s">
        <v>19</v>
      </c>
    </row>
    <row r="212" spans="1:7" x14ac:dyDescent="0.3">
      <c r="A212" s="2" t="s">
        <v>54</v>
      </c>
      <c r="B212" s="47"/>
      <c r="C212" s="48"/>
      <c r="D212" s="48"/>
      <c r="E212" s="49"/>
      <c r="F212" s="6">
        <f>+B196</f>
        <v>3.6306291666666657E-2</v>
      </c>
      <c r="G212" s="2"/>
    </row>
    <row r="213" spans="1:7" x14ac:dyDescent="0.3">
      <c r="A213" s="2" t="s">
        <v>87</v>
      </c>
      <c r="B213" s="2">
        <f>50/10000</f>
        <v>5.0000000000000001E-3</v>
      </c>
      <c r="C213" s="2">
        <v>0.97</v>
      </c>
      <c r="D213" s="2">
        <v>100</v>
      </c>
      <c r="E213" s="2"/>
      <c r="F213" s="6">
        <f t="shared" ref="F213" si="3">+B213*C213*D213/360</f>
        <v>1.3472222222222221E-3</v>
      </c>
      <c r="G213" s="6"/>
    </row>
    <row r="214" spans="1:7" x14ac:dyDescent="0.3">
      <c r="A214" s="11"/>
      <c r="B214" s="11"/>
      <c r="C214" s="11"/>
      <c r="D214" s="11"/>
      <c r="E214" s="11"/>
      <c r="F214" s="12"/>
      <c r="G214" s="12"/>
    </row>
    <row r="215" spans="1:7" x14ac:dyDescent="0.3">
      <c r="F215" s="2" t="s">
        <v>43</v>
      </c>
      <c r="G215" s="6">
        <f>+F212+F213</f>
        <v>3.7653513888888879E-2</v>
      </c>
    </row>
    <row r="216" spans="1:7" x14ac:dyDescent="0.3">
      <c r="A216" s="1" t="s">
        <v>71</v>
      </c>
      <c r="B216" s="1"/>
      <c r="C216" s="1"/>
    </row>
    <row r="217" spans="1:7" x14ac:dyDescent="0.3">
      <c r="A217" s="5" t="s">
        <v>66</v>
      </c>
      <c r="B217" s="14">
        <f>+G215</f>
        <v>3.7653513888888879E-2</v>
      </c>
      <c r="C217" t="s">
        <v>15</v>
      </c>
    </row>
    <row r="218" spans="1:7" x14ac:dyDescent="0.3">
      <c r="A218" s="5" t="s">
        <v>56</v>
      </c>
      <c r="B218" s="7">
        <v>0.01</v>
      </c>
      <c r="D218" s="1"/>
    </row>
    <row r="219" spans="1:7" ht="18" x14ac:dyDescent="0.35">
      <c r="A219" s="21" t="s">
        <v>93</v>
      </c>
      <c r="B219" s="15">
        <f>180*PI()/180</f>
        <v>3.1415926535897931</v>
      </c>
      <c r="C219" t="s">
        <v>58</v>
      </c>
    </row>
    <row r="220" spans="1:7" x14ac:dyDescent="0.3">
      <c r="A220" s="5" t="s">
        <v>90</v>
      </c>
      <c r="B220" s="7">
        <v>3.7900000000000003E-2</v>
      </c>
      <c r="C220" t="s">
        <v>50</v>
      </c>
    </row>
    <row r="221" spans="1:7" x14ac:dyDescent="0.3">
      <c r="A221" s="23" t="s">
        <v>57</v>
      </c>
      <c r="B221" s="22">
        <v>8</v>
      </c>
      <c r="C221" t="s">
        <v>65</v>
      </c>
      <c r="G221" s="13"/>
    </row>
    <row r="223" spans="1:7" x14ac:dyDescent="0.3">
      <c r="A223" s="8" t="s">
        <v>57</v>
      </c>
      <c r="B223" s="2" t="s">
        <v>38</v>
      </c>
      <c r="C223" s="5" t="s">
        <v>39</v>
      </c>
      <c r="D223" s="5" t="s">
        <v>40</v>
      </c>
      <c r="E223" s="5" t="s">
        <v>41</v>
      </c>
      <c r="F223" s="8" t="s">
        <v>99</v>
      </c>
      <c r="G223" s="8" t="s">
        <v>96</v>
      </c>
    </row>
    <row r="224" spans="1:7" x14ac:dyDescent="0.3">
      <c r="A224" s="9">
        <f>+B221*0.0254</f>
        <v>0.20319999999999999</v>
      </c>
      <c r="B224" s="2">
        <f>+B220</f>
        <v>3.7900000000000003E-2</v>
      </c>
      <c r="C224" s="4">
        <f>+((B219-SIN(B219))*(A224)^2)/8</f>
        <v>1.6214639331119926E-2</v>
      </c>
      <c r="D224" s="2">
        <f>+B219*A224/2</f>
        <v>0.31918581360472298</v>
      </c>
      <c r="E224" s="2">
        <f>(1-SIN(B219)/B219)*(A224)/4</f>
        <v>5.0799999999999998E-2</v>
      </c>
      <c r="F224" s="9">
        <f>C224*(E224^(2/3))*(B224^(1/2))/B218</f>
        <v>4.3298153201884119E-2</v>
      </c>
      <c r="G224" s="20">
        <f>+B217/C224</f>
        <v>2.3221925027109558</v>
      </c>
    </row>
    <row r="226" spans="1:7" x14ac:dyDescent="0.3">
      <c r="C226" s="1" t="s">
        <v>100</v>
      </c>
      <c r="D226" s="1"/>
      <c r="F226" s="1" t="str">
        <f>+IF(B217&lt;F224,"CUMPLE","NO CUMPLE")</f>
        <v>CUMPLE</v>
      </c>
      <c r="G226" s="1"/>
    </row>
    <row r="227" spans="1:7" x14ac:dyDescent="0.3">
      <c r="C227" s="1" t="s">
        <v>98</v>
      </c>
      <c r="D227" s="1"/>
      <c r="F227" s="1" t="str">
        <f>+IF(G224&lt;5,"CUMPLE","Verificar Diametro")</f>
        <v>CUMPLE</v>
      </c>
      <c r="G227" s="1"/>
    </row>
    <row r="228" spans="1:7" x14ac:dyDescent="0.3">
      <c r="C228" s="1" t="s">
        <v>69</v>
      </c>
      <c r="D228" s="1"/>
    </row>
    <row r="229" spans="1:7" x14ac:dyDescent="0.3">
      <c r="D229" s="27" t="s">
        <v>59</v>
      </c>
      <c r="E229" s="27">
        <f>IF(B217&lt;F224,A224/0.0254,"Modificar Diametro")</f>
        <v>8</v>
      </c>
      <c r="F229" s="27" t="s">
        <v>65</v>
      </c>
    </row>
    <row r="231" spans="1:7" ht="18" x14ac:dyDescent="0.35">
      <c r="A231" s="10" t="s">
        <v>169</v>
      </c>
    </row>
    <row r="232" spans="1:7" x14ac:dyDescent="0.3">
      <c r="B232" s="2" t="s">
        <v>20</v>
      </c>
      <c r="C232" s="2" t="s">
        <v>13</v>
      </c>
      <c r="D232" s="2" t="s">
        <v>17</v>
      </c>
      <c r="E232" s="2" t="s">
        <v>22</v>
      </c>
      <c r="F232" s="2" t="s">
        <v>18</v>
      </c>
      <c r="G232" s="2" t="s">
        <v>19</v>
      </c>
    </row>
    <row r="233" spans="1:7" x14ac:dyDescent="0.3">
      <c r="A233" s="2" t="s">
        <v>54</v>
      </c>
      <c r="B233" s="47"/>
      <c r="C233" s="48"/>
      <c r="D233" s="48"/>
      <c r="E233" s="49"/>
      <c r="F233" s="6">
        <f>+B217+B63</f>
        <v>3.7653513888888879E-2</v>
      </c>
      <c r="G233" s="2"/>
    </row>
    <row r="234" spans="1:7" x14ac:dyDescent="0.3">
      <c r="A234" s="2" t="s">
        <v>94</v>
      </c>
      <c r="B234" s="2">
        <f>(360-45+20+136*0.5+90*0.5)/10000</f>
        <v>4.48E-2</v>
      </c>
      <c r="C234" s="2">
        <v>0.97</v>
      </c>
      <c r="D234" s="2">
        <v>100</v>
      </c>
      <c r="E234" s="2"/>
      <c r="F234" s="6">
        <f t="shared" ref="F234:F235" si="4">+B234*C234*D234/360</f>
        <v>1.2071111111111112E-2</v>
      </c>
      <c r="G234" s="2"/>
    </row>
    <row r="235" spans="1:7" x14ac:dyDescent="0.3">
      <c r="A235" s="2" t="s">
        <v>128</v>
      </c>
      <c r="B235" s="2">
        <f>(0.5*660)/10000</f>
        <v>3.3000000000000002E-2</v>
      </c>
      <c r="C235" s="2">
        <v>0.97</v>
      </c>
      <c r="D235" s="2">
        <v>100</v>
      </c>
      <c r="E235" s="2"/>
      <c r="F235" s="6">
        <f t="shared" si="4"/>
        <v>8.8916666666666675E-3</v>
      </c>
      <c r="G235" s="2"/>
    </row>
    <row r="236" spans="1:7" x14ac:dyDescent="0.3">
      <c r="A236" s="11"/>
      <c r="B236" s="11"/>
      <c r="C236" s="11"/>
      <c r="D236" s="11"/>
      <c r="E236" s="11"/>
      <c r="F236" s="12"/>
      <c r="G236" s="12"/>
    </row>
    <row r="237" spans="1:7" x14ac:dyDescent="0.3">
      <c r="F237" s="2" t="s">
        <v>43</v>
      </c>
      <c r="G237" s="6">
        <f>+F233+F234+F235</f>
        <v>5.861629166666666E-2</v>
      </c>
    </row>
    <row r="239" spans="1:7" x14ac:dyDescent="0.3">
      <c r="A239" s="1" t="s">
        <v>33</v>
      </c>
      <c r="B239" s="1"/>
      <c r="C239" s="1"/>
    </row>
    <row r="240" spans="1:7" x14ac:dyDescent="0.3">
      <c r="A240" s="5" t="s">
        <v>34</v>
      </c>
      <c r="B240" s="14">
        <f>+G237</f>
        <v>5.861629166666666E-2</v>
      </c>
      <c r="C240" t="s">
        <v>15</v>
      </c>
    </row>
    <row r="241" spans="1:11" x14ac:dyDescent="0.3">
      <c r="A241" s="5" t="s">
        <v>44</v>
      </c>
      <c r="B241" s="7">
        <v>1.2999999999999999E-2</v>
      </c>
    </row>
    <row r="242" spans="1:11" x14ac:dyDescent="0.3">
      <c r="A242" s="5" t="s">
        <v>35</v>
      </c>
      <c r="B242" s="7">
        <v>0</v>
      </c>
    </row>
    <row r="243" spans="1:11" x14ac:dyDescent="0.3">
      <c r="A243" s="5" t="s">
        <v>36</v>
      </c>
      <c r="B243" s="7">
        <v>0.3</v>
      </c>
      <c r="C243" t="s">
        <v>49</v>
      </c>
    </row>
    <row r="244" spans="1:11" x14ac:dyDescent="0.3">
      <c r="A244" s="5" t="s">
        <v>38</v>
      </c>
      <c r="B244" s="7">
        <v>0.01</v>
      </c>
      <c r="C244" t="s">
        <v>50</v>
      </c>
    </row>
    <row r="245" spans="1:11" x14ac:dyDescent="0.3">
      <c r="A245" s="5" t="s">
        <v>48</v>
      </c>
      <c r="B245" s="7">
        <v>0.81</v>
      </c>
      <c r="C245" t="s">
        <v>49</v>
      </c>
      <c r="G245" s="13"/>
      <c r="H245" s="13"/>
    </row>
    <row r="247" spans="1:11" x14ac:dyDescent="0.3">
      <c r="A247" s="8" t="s">
        <v>37</v>
      </c>
      <c r="B247" s="2" t="s">
        <v>38</v>
      </c>
      <c r="C247" s="5" t="s">
        <v>39</v>
      </c>
      <c r="D247" s="5" t="s">
        <v>40</v>
      </c>
      <c r="E247" s="5" t="s">
        <v>41</v>
      </c>
      <c r="F247" s="5" t="s">
        <v>34</v>
      </c>
      <c r="G247" s="17" t="s">
        <v>45</v>
      </c>
      <c r="H247" s="8" t="s">
        <v>60</v>
      </c>
      <c r="I247" s="17" t="s">
        <v>46</v>
      </c>
      <c r="J247" s="8" t="s">
        <v>101</v>
      </c>
      <c r="K247" s="8" t="s">
        <v>96</v>
      </c>
    </row>
    <row r="248" spans="1:11" x14ac:dyDescent="0.3">
      <c r="A248" s="9">
        <v>0.14556686555623904</v>
      </c>
      <c r="B248" s="4">
        <f>+B244</f>
        <v>0.01</v>
      </c>
      <c r="C248" s="2">
        <f>+A248*B243</f>
        <v>4.3670059666871715E-2</v>
      </c>
      <c r="D248" s="2">
        <f>+B243+2*A248</f>
        <v>0.59113373111247802</v>
      </c>
      <c r="E248" s="2">
        <f>C248/D248</f>
        <v>7.3875093516804227E-2</v>
      </c>
      <c r="F248" s="2">
        <f>C248*(E248^(2/3))*(B248^(1/2))/B241</f>
        <v>5.914333300704807E-2</v>
      </c>
      <c r="G248" s="31">
        <f>ROUND(A248,2)</f>
        <v>0.15</v>
      </c>
      <c r="H248" s="20">
        <f>+ROUND(G248,4)*100</f>
        <v>15</v>
      </c>
      <c r="I248" s="2">
        <f>4/5*B245</f>
        <v>0.64800000000000013</v>
      </c>
      <c r="J248" s="9">
        <f>+(B245-G248)*100</f>
        <v>66</v>
      </c>
      <c r="K248" s="20">
        <f>+B240/C248</f>
        <v>1.34225352824817</v>
      </c>
    </row>
    <row r="250" spans="1:11" x14ac:dyDescent="0.3">
      <c r="F250" s="1" t="s">
        <v>47</v>
      </c>
      <c r="G250" s="1"/>
      <c r="H250" s="1"/>
      <c r="I250" s="1" t="str">
        <f>IF(G248&lt;I248,"CUMPLE","NO CUMPLE")</f>
        <v>CUMPLE</v>
      </c>
    </row>
    <row r="251" spans="1:11" x14ac:dyDescent="0.3">
      <c r="F251" s="1" t="s">
        <v>97</v>
      </c>
      <c r="G251" s="1"/>
      <c r="I251" s="1" t="str">
        <f>+IF(K248&lt;3,"CUMPLE","Verificar Ancho")</f>
        <v>CUMPLE</v>
      </c>
    </row>
    <row r="253" spans="1:11" ht="18" x14ac:dyDescent="0.35">
      <c r="A253" s="37" t="s">
        <v>170</v>
      </c>
    </row>
    <row r="254" spans="1:11" x14ac:dyDescent="0.3">
      <c r="B254" s="2" t="s">
        <v>20</v>
      </c>
      <c r="C254" s="2" t="s">
        <v>13</v>
      </c>
      <c r="D254" s="2" t="s">
        <v>17</v>
      </c>
      <c r="E254" s="2" t="s">
        <v>22</v>
      </c>
      <c r="F254" s="2" t="s">
        <v>18</v>
      </c>
      <c r="G254" s="2" t="s">
        <v>19</v>
      </c>
    </row>
    <row r="255" spans="1:11" x14ac:dyDescent="0.3">
      <c r="A255" s="2" t="s">
        <v>54</v>
      </c>
      <c r="B255" s="47"/>
      <c r="C255" s="48"/>
      <c r="D255" s="48"/>
      <c r="E255" s="49"/>
      <c r="F255" s="6">
        <f>+B240</f>
        <v>5.861629166666666E-2</v>
      </c>
      <c r="G255" s="2"/>
    </row>
    <row r="256" spans="1:11" x14ac:dyDescent="0.3">
      <c r="A256" s="11"/>
      <c r="B256" s="11"/>
      <c r="C256" s="11"/>
      <c r="D256" s="11"/>
      <c r="E256" s="11"/>
      <c r="F256" s="12"/>
      <c r="G256" s="12"/>
    </row>
    <row r="257" spans="1:7" x14ac:dyDescent="0.3">
      <c r="F257" s="2" t="s">
        <v>43</v>
      </c>
      <c r="G257" s="6">
        <f>+F255</f>
        <v>5.861629166666666E-2</v>
      </c>
    </row>
    <row r="258" spans="1:7" x14ac:dyDescent="0.3">
      <c r="A258" s="1" t="s">
        <v>71</v>
      </c>
      <c r="B258" s="1"/>
      <c r="C258" s="1"/>
    </row>
    <row r="259" spans="1:7" x14ac:dyDescent="0.3">
      <c r="A259" s="5" t="s">
        <v>66</v>
      </c>
      <c r="B259" s="14">
        <f>+G257</f>
        <v>5.861629166666666E-2</v>
      </c>
      <c r="C259" t="s">
        <v>15</v>
      </c>
    </row>
    <row r="260" spans="1:7" x14ac:dyDescent="0.3">
      <c r="A260" s="5" t="s">
        <v>56</v>
      </c>
      <c r="B260" s="7">
        <v>0.01</v>
      </c>
      <c r="D260" s="1"/>
    </row>
    <row r="261" spans="1:7" ht="18" x14ac:dyDescent="0.35">
      <c r="A261" s="21" t="s">
        <v>93</v>
      </c>
      <c r="B261" s="15">
        <f>180*PI()/180</f>
        <v>3.1415926535897931</v>
      </c>
      <c r="C261" t="s">
        <v>58</v>
      </c>
    </row>
    <row r="262" spans="1:7" x14ac:dyDescent="0.3">
      <c r="A262" s="5" t="s">
        <v>90</v>
      </c>
      <c r="B262" s="7">
        <v>3.6999999999999998E-2</v>
      </c>
      <c r="C262" t="s">
        <v>50</v>
      </c>
    </row>
    <row r="263" spans="1:7" x14ac:dyDescent="0.3">
      <c r="A263" s="23" t="s">
        <v>57</v>
      </c>
      <c r="B263" s="22">
        <v>10</v>
      </c>
      <c r="C263" t="s">
        <v>65</v>
      </c>
      <c r="G263" s="13"/>
    </row>
    <row r="265" spans="1:7" x14ac:dyDescent="0.3">
      <c r="A265" s="8" t="s">
        <v>57</v>
      </c>
      <c r="B265" s="2" t="s">
        <v>38</v>
      </c>
      <c r="C265" s="5" t="s">
        <v>39</v>
      </c>
      <c r="D265" s="5" t="s">
        <v>40</v>
      </c>
      <c r="E265" s="5" t="s">
        <v>41</v>
      </c>
      <c r="F265" s="8" t="s">
        <v>99</v>
      </c>
      <c r="G265" s="8" t="s">
        <v>96</v>
      </c>
    </row>
    <row r="266" spans="1:7" x14ac:dyDescent="0.3">
      <c r="A266" s="9">
        <f>+B263*0.0254</f>
        <v>0.254</v>
      </c>
      <c r="B266" s="2">
        <f>+B262</f>
        <v>3.6999999999999998E-2</v>
      </c>
      <c r="C266" s="4">
        <f>+((B261-SIN(B261))*(A266)^2)/8</f>
        <v>2.5335373954874889E-2</v>
      </c>
      <c r="D266" s="2">
        <f>+B261*A266/2</f>
        <v>0.39898226700590372</v>
      </c>
      <c r="E266" s="2">
        <f>(1-SIN(B261)/B261)*(A266)/4</f>
        <v>6.3500000000000001E-2</v>
      </c>
      <c r="F266" s="9">
        <f>C266*(E266^(2/3))*(B266^(1/2))/B260</f>
        <v>7.7567060061067131E-2</v>
      </c>
      <c r="G266" s="20">
        <f>+B259/C266</f>
        <v>2.3136146232168815</v>
      </c>
    </row>
    <row r="268" spans="1:7" x14ac:dyDescent="0.3">
      <c r="C268" s="1" t="s">
        <v>100</v>
      </c>
      <c r="D268" s="1"/>
      <c r="F268" s="1" t="str">
        <f>+IF(B259&lt;F266,"CUMPLE","NO CUMPLE")</f>
        <v>CUMPLE</v>
      </c>
      <c r="G268" s="1"/>
    </row>
    <row r="269" spans="1:7" x14ac:dyDescent="0.3">
      <c r="C269" s="1" t="s">
        <v>98</v>
      </c>
      <c r="D269" s="1"/>
      <c r="F269" s="1" t="str">
        <f>+IF(G266&lt;5,"CUMPLE","Verificar Diametro")</f>
        <v>CUMPLE</v>
      </c>
      <c r="G269" s="1"/>
    </row>
    <row r="270" spans="1:7" x14ac:dyDescent="0.3">
      <c r="C270" s="1" t="s">
        <v>69</v>
      </c>
      <c r="D270" s="1"/>
    </row>
    <row r="271" spans="1:7" x14ac:dyDescent="0.3">
      <c r="D271" s="27" t="s">
        <v>59</v>
      </c>
      <c r="E271" s="27">
        <f>IF(B259&lt;F266,A266/0.0254,"Modificar Diametro")</f>
        <v>10</v>
      </c>
      <c r="F271" s="27" t="s">
        <v>65</v>
      </c>
    </row>
    <row r="273" spans="1:11" ht="18" x14ac:dyDescent="0.35">
      <c r="A273" s="10" t="s">
        <v>171</v>
      </c>
    </row>
    <row r="274" spans="1:11" x14ac:dyDescent="0.3">
      <c r="B274" s="2" t="s">
        <v>20</v>
      </c>
      <c r="C274" s="2" t="s">
        <v>13</v>
      </c>
      <c r="D274" s="2" t="s">
        <v>17</v>
      </c>
      <c r="E274" s="2" t="s">
        <v>22</v>
      </c>
      <c r="F274" s="2" t="s">
        <v>18</v>
      </c>
      <c r="G274" s="2" t="s">
        <v>19</v>
      </c>
      <c r="H274" s="11"/>
    </row>
    <row r="275" spans="1:11" x14ac:dyDescent="0.3">
      <c r="A275" s="7" t="s">
        <v>27</v>
      </c>
      <c r="B275" s="2">
        <f>+$B$10/10000</f>
        <v>2.1972999999999999E-2</v>
      </c>
      <c r="C275" s="2">
        <v>0.97</v>
      </c>
      <c r="D275" s="2">
        <v>100</v>
      </c>
      <c r="E275" s="2"/>
      <c r="F275" s="6">
        <f>+B275*C275*D275/360</f>
        <v>5.9205027777777773E-3</v>
      </c>
      <c r="G275" s="6"/>
      <c r="H275" s="12"/>
    </row>
    <row r="276" spans="1:11" x14ac:dyDescent="0.3">
      <c r="A276" s="2" t="s">
        <v>77</v>
      </c>
      <c r="B276" s="2">
        <f>30*1.25/10000</f>
        <v>3.7499999999999999E-3</v>
      </c>
      <c r="C276" s="2">
        <v>0.97</v>
      </c>
      <c r="D276" s="2">
        <v>100</v>
      </c>
      <c r="E276" s="2"/>
      <c r="F276" s="6">
        <f t="shared" ref="F276" si="5">+B276*C276*D276/360</f>
        <v>1.0104166666666666E-3</v>
      </c>
      <c r="G276" s="6"/>
      <c r="H276" s="12"/>
    </row>
    <row r="277" spans="1:11" x14ac:dyDescent="0.3">
      <c r="A277" s="11"/>
      <c r="B277" s="11"/>
      <c r="C277" s="11"/>
      <c r="D277" s="11"/>
      <c r="E277" s="11"/>
      <c r="F277" s="12"/>
      <c r="G277" s="12"/>
      <c r="H277" s="12"/>
    </row>
    <row r="278" spans="1:11" x14ac:dyDescent="0.3">
      <c r="F278" s="2" t="s">
        <v>43</v>
      </c>
      <c r="G278" s="6">
        <f>+F275+F276</f>
        <v>6.9309194444444437E-3</v>
      </c>
      <c r="H278" s="12"/>
    </row>
    <row r="279" spans="1:11" x14ac:dyDescent="0.3">
      <c r="A279" s="1" t="s">
        <v>33</v>
      </c>
      <c r="B279" s="1"/>
      <c r="C279" s="1"/>
    </row>
    <row r="280" spans="1:11" x14ac:dyDescent="0.3">
      <c r="A280" s="5" t="s">
        <v>34</v>
      </c>
      <c r="B280" s="14">
        <f>+G278</f>
        <v>6.9309194444444437E-3</v>
      </c>
      <c r="C280" t="s">
        <v>15</v>
      </c>
    </row>
    <row r="281" spans="1:11" x14ac:dyDescent="0.3">
      <c r="A281" s="5" t="s">
        <v>44</v>
      </c>
      <c r="B281" s="7">
        <v>1.2999999999999999E-2</v>
      </c>
    </row>
    <row r="282" spans="1:11" x14ac:dyDescent="0.3">
      <c r="A282" s="5" t="s">
        <v>35</v>
      </c>
      <c r="B282" s="7">
        <v>0</v>
      </c>
    </row>
    <row r="283" spans="1:11" x14ac:dyDescent="0.3">
      <c r="A283" s="5" t="s">
        <v>36</v>
      </c>
      <c r="B283" s="7">
        <v>0.2</v>
      </c>
      <c r="C283" t="s">
        <v>49</v>
      </c>
    </row>
    <row r="284" spans="1:11" x14ac:dyDescent="0.3">
      <c r="A284" s="5" t="s">
        <v>38</v>
      </c>
      <c r="B284" s="7">
        <v>5.0000000000000001E-3</v>
      </c>
      <c r="C284" t="s">
        <v>50</v>
      </c>
    </row>
    <row r="285" spans="1:11" x14ac:dyDescent="0.3">
      <c r="A285" s="5" t="s">
        <v>48</v>
      </c>
      <c r="B285" s="7">
        <v>0.31</v>
      </c>
      <c r="C285" t="s">
        <v>49</v>
      </c>
      <c r="G285" s="13"/>
      <c r="H285" s="13"/>
    </row>
    <row r="287" spans="1:11" x14ac:dyDescent="0.3">
      <c r="A287" s="8" t="s">
        <v>37</v>
      </c>
      <c r="B287" s="2" t="s">
        <v>38</v>
      </c>
      <c r="C287" s="5" t="s">
        <v>39</v>
      </c>
      <c r="D287" s="5" t="s">
        <v>40</v>
      </c>
      <c r="E287" s="5" t="s">
        <v>41</v>
      </c>
      <c r="F287" s="5" t="s">
        <v>34</v>
      </c>
      <c r="G287" s="17" t="s">
        <v>45</v>
      </c>
      <c r="H287" s="8" t="s">
        <v>60</v>
      </c>
      <c r="I287" s="17" t="s">
        <v>46</v>
      </c>
      <c r="J287" s="8" t="s">
        <v>101</v>
      </c>
      <c r="K287" s="8" t="s">
        <v>96</v>
      </c>
    </row>
    <row r="288" spans="1:11" x14ac:dyDescent="0.3">
      <c r="A288" s="9">
        <v>6.2994634004901268E-2</v>
      </c>
      <c r="B288" s="4">
        <f>+B284</f>
        <v>5.0000000000000001E-3</v>
      </c>
      <c r="C288" s="2">
        <f>+A288*B283</f>
        <v>1.2598926800980254E-2</v>
      </c>
      <c r="D288" s="2">
        <f>+B283+2*A288</f>
        <v>0.32598926800980255</v>
      </c>
      <c r="E288" s="2">
        <f>C288/D288</f>
        <v>3.8648287036864667E-2</v>
      </c>
      <c r="F288" s="2">
        <f>C288*(E288^(2/3))*(B288^(1/2))/B281</f>
        <v>7.8336116176969152E-3</v>
      </c>
      <c r="G288" s="31">
        <f>ROUND(A288,2)</f>
        <v>0.06</v>
      </c>
      <c r="H288" s="20">
        <f>+ROUND(G288,4)*100</f>
        <v>6</v>
      </c>
      <c r="I288" s="2">
        <f>4/5*B285</f>
        <v>0.248</v>
      </c>
      <c r="J288" s="9">
        <f>+(B285-G288)*100</f>
        <v>25</v>
      </c>
      <c r="K288" s="20">
        <f>+B280/C288</f>
        <v>0.55011982797655323</v>
      </c>
    </row>
    <row r="290" spans="1:9" x14ac:dyDescent="0.3">
      <c r="F290" s="1" t="s">
        <v>47</v>
      </c>
      <c r="G290" s="1"/>
      <c r="H290" s="1"/>
      <c r="I290" s="1" t="str">
        <f>IF(G288&lt;I288,"CUMPLE","NO CUMPLE")</f>
        <v>CUMPLE</v>
      </c>
    </row>
    <row r="291" spans="1:9" x14ac:dyDescent="0.3">
      <c r="F291" s="1" t="s">
        <v>97</v>
      </c>
      <c r="G291" s="1"/>
      <c r="I291" s="1" t="str">
        <f>+IF(K288&lt;3,"CUMPLE","Verificar Ancho")</f>
        <v>CUMPLE</v>
      </c>
    </row>
    <row r="292" spans="1:9" x14ac:dyDescent="0.3">
      <c r="F292" s="1"/>
      <c r="G292" s="1"/>
      <c r="I292" s="1"/>
    </row>
    <row r="294" spans="1:9" ht="18" x14ac:dyDescent="0.35">
      <c r="A294" s="10" t="s">
        <v>172</v>
      </c>
    </row>
    <row r="295" spans="1:9" x14ac:dyDescent="0.3">
      <c r="B295" s="2" t="s">
        <v>20</v>
      </c>
      <c r="C295" s="2" t="s">
        <v>13</v>
      </c>
      <c r="D295" s="2" t="s">
        <v>17</v>
      </c>
      <c r="E295" s="2" t="s">
        <v>22</v>
      </c>
      <c r="F295" s="2" t="s">
        <v>18</v>
      </c>
      <c r="G295" s="2" t="s">
        <v>19</v>
      </c>
      <c r="H295" s="11"/>
    </row>
    <row r="296" spans="1:9" x14ac:dyDescent="0.3">
      <c r="A296" s="2" t="s">
        <v>54</v>
      </c>
      <c r="B296" s="47"/>
      <c r="C296" s="48"/>
      <c r="D296" s="48"/>
      <c r="E296" s="49"/>
      <c r="F296" s="6">
        <f>+B280</f>
        <v>6.9309194444444437E-3</v>
      </c>
      <c r="G296" s="2"/>
      <c r="H296" s="11"/>
    </row>
    <row r="297" spans="1:9" x14ac:dyDescent="0.3">
      <c r="A297" s="2" t="s">
        <v>78</v>
      </c>
      <c r="B297" s="2">
        <f>25*1.25/10000</f>
        <v>3.1250000000000002E-3</v>
      </c>
      <c r="C297" s="2">
        <v>0.97</v>
      </c>
      <c r="D297" s="2">
        <v>100</v>
      </c>
      <c r="E297" s="2"/>
      <c r="F297" s="6">
        <f t="shared" ref="F297" si="6">+B297*C297*D297/360</f>
        <v>8.42013888888889E-4</v>
      </c>
      <c r="G297" s="6"/>
      <c r="H297" s="12"/>
    </row>
    <row r="298" spans="1:9" x14ac:dyDescent="0.3">
      <c r="A298" s="11"/>
      <c r="B298" s="11"/>
      <c r="C298" s="11"/>
      <c r="D298" s="11"/>
      <c r="E298" s="11"/>
      <c r="F298" s="12"/>
      <c r="G298" s="12"/>
      <c r="H298" s="12"/>
    </row>
    <row r="299" spans="1:9" x14ac:dyDescent="0.3">
      <c r="F299" s="2" t="s">
        <v>43</v>
      </c>
      <c r="G299" s="6">
        <f>+F296+F297</f>
        <v>7.7729333333333324E-3</v>
      </c>
      <c r="H299" s="12"/>
    </row>
    <row r="300" spans="1:9" x14ac:dyDescent="0.3">
      <c r="A300" s="1" t="s">
        <v>33</v>
      </c>
      <c r="B300" s="1"/>
      <c r="C300" s="1"/>
    </row>
    <row r="301" spans="1:9" x14ac:dyDescent="0.3">
      <c r="A301" s="5" t="s">
        <v>34</v>
      </c>
      <c r="B301" s="14">
        <f>+G299</f>
        <v>7.7729333333333324E-3</v>
      </c>
      <c r="C301" t="s">
        <v>15</v>
      </c>
    </row>
    <row r="302" spans="1:9" x14ac:dyDescent="0.3">
      <c r="A302" s="5" t="s">
        <v>44</v>
      </c>
      <c r="B302" s="7">
        <v>1.2999999999999999E-2</v>
      </c>
      <c r="E302" t="s">
        <v>82</v>
      </c>
      <c r="F302">
        <f>+B301/D309</f>
        <v>2.3198554393574811E-2</v>
      </c>
      <c r="G302" t="s">
        <v>85</v>
      </c>
    </row>
    <row r="303" spans="1:9" x14ac:dyDescent="0.3">
      <c r="A303" s="5" t="s">
        <v>35</v>
      </c>
      <c r="B303" s="7">
        <v>0</v>
      </c>
    </row>
    <row r="304" spans="1:9" x14ac:dyDescent="0.3">
      <c r="A304" s="5" t="s">
        <v>36</v>
      </c>
      <c r="B304" s="7">
        <v>0.2</v>
      </c>
      <c r="C304" t="s">
        <v>49</v>
      </c>
    </row>
    <row r="305" spans="1:11" x14ac:dyDescent="0.3">
      <c r="A305" s="5" t="s">
        <v>38</v>
      </c>
      <c r="B305" s="7">
        <v>5.0000000000000001E-3</v>
      </c>
      <c r="C305" t="s">
        <v>50</v>
      </c>
    </row>
    <row r="306" spans="1:11" x14ac:dyDescent="0.3">
      <c r="A306" s="5" t="s">
        <v>48</v>
      </c>
      <c r="B306" s="7">
        <v>0.36</v>
      </c>
      <c r="C306" t="s">
        <v>49</v>
      </c>
      <c r="G306" s="13"/>
      <c r="H306" s="13"/>
    </row>
    <row r="308" spans="1:11" x14ac:dyDescent="0.3">
      <c r="A308" s="8" t="s">
        <v>37</v>
      </c>
      <c r="B308" s="2" t="s">
        <v>38</v>
      </c>
      <c r="C308" s="5" t="s">
        <v>39</v>
      </c>
      <c r="D308" s="5" t="s">
        <v>40</v>
      </c>
      <c r="E308" s="5" t="s">
        <v>41</v>
      </c>
      <c r="F308" s="5" t="s">
        <v>34</v>
      </c>
      <c r="G308" s="17" t="s">
        <v>45</v>
      </c>
      <c r="H308" s="8" t="s">
        <v>60</v>
      </c>
      <c r="I308" s="17" t="s">
        <v>46</v>
      </c>
      <c r="J308" s="8" t="s">
        <v>101</v>
      </c>
      <c r="K308" s="8" t="s">
        <v>96</v>
      </c>
    </row>
    <row r="309" spans="1:11" x14ac:dyDescent="0.3">
      <c r="A309" s="9">
        <v>6.7530553875507077E-2</v>
      </c>
      <c r="B309" s="4">
        <f>+B305</f>
        <v>5.0000000000000001E-3</v>
      </c>
      <c r="C309" s="2">
        <f>+A309*B304</f>
        <v>1.3506110775101415E-2</v>
      </c>
      <c r="D309" s="2">
        <f>+B304+2*A309</f>
        <v>0.33506110775101416</v>
      </c>
      <c r="E309" s="2">
        <f>C309/D309</f>
        <v>4.0309395697270496E-2</v>
      </c>
      <c r="F309" s="2">
        <f>C309*(E309^(2/3))*(B309^(1/2))/B302</f>
        <v>8.6366001917413966E-3</v>
      </c>
      <c r="G309" s="31">
        <f>ROUND(A309,2)</f>
        <v>7.0000000000000007E-2</v>
      </c>
      <c r="H309" s="20">
        <f>+ROUND(G309,4)*100</f>
        <v>7.0000000000000009</v>
      </c>
      <c r="I309" s="2">
        <f>4/5*B306</f>
        <v>0.28799999999999998</v>
      </c>
      <c r="J309" s="9">
        <f>+(B306-G309)*100</f>
        <v>28.999999999999996</v>
      </c>
      <c r="K309" s="20">
        <f>+B301/C309</f>
        <v>0.57551233384393496</v>
      </c>
    </row>
    <row r="311" spans="1:11" x14ac:dyDescent="0.3">
      <c r="F311" s="1" t="s">
        <v>47</v>
      </c>
      <c r="G311" s="1"/>
      <c r="H311" s="1"/>
      <c r="I311" s="1" t="str">
        <f>IF(G309&lt;I309,"CUMPLE","NO CUMPLE")</f>
        <v>CUMPLE</v>
      </c>
    </row>
    <row r="312" spans="1:11" x14ac:dyDescent="0.3">
      <c r="F312" s="1" t="s">
        <v>97</v>
      </c>
      <c r="G312" s="1"/>
      <c r="I312" s="1" t="str">
        <f>+IF(K309&lt;3,"CUMPLE","Verificar Ancho")</f>
        <v>CUMPLE</v>
      </c>
    </row>
    <row r="313" spans="1:11" x14ac:dyDescent="0.3">
      <c r="F313" s="1"/>
      <c r="G313" s="1"/>
      <c r="I313" s="1"/>
    </row>
    <row r="315" spans="1:11" ht="18" x14ac:dyDescent="0.35">
      <c r="A315" s="10" t="s">
        <v>173</v>
      </c>
    </row>
    <row r="316" spans="1:11" x14ac:dyDescent="0.3">
      <c r="B316" s="2" t="s">
        <v>20</v>
      </c>
      <c r="C316" s="2" t="s">
        <v>13</v>
      </c>
      <c r="D316" s="2" t="s">
        <v>17</v>
      </c>
      <c r="E316" s="2" t="s">
        <v>22</v>
      </c>
      <c r="F316" s="2" t="s">
        <v>18</v>
      </c>
      <c r="G316" s="2" t="s">
        <v>19</v>
      </c>
    </row>
    <row r="317" spans="1:11" x14ac:dyDescent="0.3">
      <c r="A317" s="2" t="s">
        <v>54</v>
      </c>
      <c r="B317" s="47"/>
      <c r="C317" s="48"/>
      <c r="D317" s="48"/>
      <c r="E317" s="49"/>
      <c r="F317" s="6">
        <f>+B301</f>
        <v>7.7729333333333324E-3</v>
      </c>
      <c r="G317" s="2"/>
    </row>
    <row r="318" spans="1:11" x14ac:dyDescent="0.3">
      <c r="A318" s="2" t="s">
        <v>79</v>
      </c>
      <c r="B318" s="2">
        <f>62/10000</f>
        <v>6.1999999999999998E-3</v>
      </c>
      <c r="C318" s="2">
        <v>0.97</v>
      </c>
      <c r="D318" s="2">
        <v>100</v>
      </c>
      <c r="E318" s="2"/>
      <c r="F318" s="6">
        <f t="shared" ref="F318" si="7">+B318*C318*D318/360</f>
        <v>1.6705555555555553E-3</v>
      </c>
      <c r="G318" s="6"/>
    </row>
    <row r="319" spans="1:11" x14ac:dyDescent="0.3">
      <c r="A319" s="11"/>
      <c r="B319" s="24"/>
      <c r="C319" s="24"/>
      <c r="D319" s="24"/>
      <c r="E319" s="24"/>
      <c r="F319" s="12"/>
      <c r="G319" s="11"/>
    </row>
    <row r="320" spans="1:11" x14ac:dyDescent="0.3">
      <c r="A320" s="11"/>
      <c r="B320" s="11"/>
      <c r="C320" s="11"/>
      <c r="D320" s="11"/>
      <c r="E320" s="11"/>
      <c r="F320" s="12"/>
      <c r="G320" s="12"/>
    </row>
    <row r="321" spans="1:11" x14ac:dyDescent="0.3">
      <c r="F321" s="2" t="s">
        <v>43</v>
      </c>
      <c r="G321" s="6">
        <f>+F317+F318</f>
        <v>9.4434888888888877E-3</v>
      </c>
    </row>
    <row r="323" spans="1:11" x14ac:dyDescent="0.3">
      <c r="A323" s="1" t="s">
        <v>33</v>
      </c>
      <c r="B323" s="1"/>
      <c r="C323" s="1"/>
    </row>
    <row r="324" spans="1:11" x14ac:dyDescent="0.3">
      <c r="A324" s="5" t="s">
        <v>34</v>
      </c>
      <c r="B324" s="14">
        <f>+G321</f>
        <v>9.4434888888888877E-3</v>
      </c>
      <c r="C324" t="s">
        <v>15</v>
      </c>
    </row>
    <row r="325" spans="1:11" x14ac:dyDescent="0.3">
      <c r="A325" s="5" t="s">
        <v>44</v>
      </c>
      <c r="B325" s="7">
        <v>1.2999999999999999E-2</v>
      </c>
    </row>
    <row r="326" spans="1:11" x14ac:dyDescent="0.3">
      <c r="A326" s="5" t="s">
        <v>35</v>
      </c>
      <c r="B326" s="7">
        <v>0</v>
      </c>
    </row>
    <row r="327" spans="1:11" x14ac:dyDescent="0.3">
      <c r="A327" s="5" t="s">
        <v>36</v>
      </c>
      <c r="B327" s="7">
        <v>0.2</v>
      </c>
      <c r="C327" t="s">
        <v>49</v>
      </c>
    </row>
    <row r="328" spans="1:11" x14ac:dyDescent="0.3">
      <c r="A328" s="5" t="s">
        <v>38</v>
      </c>
      <c r="B328" s="7">
        <v>4.4200000000000003E-2</v>
      </c>
      <c r="C328" t="s">
        <v>50</v>
      </c>
    </row>
    <row r="329" spans="1:11" x14ac:dyDescent="0.3">
      <c r="A329" s="5" t="s">
        <v>48</v>
      </c>
      <c r="B329" s="7">
        <v>0.95</v>
      </c>
      <c r="C329" t="s">
        <v>49</v>
      </c>
      <c r="G329" s="13"/>
      <c r="H329" s="13"/>
    </row>
    <row r="331" spans="1:11" x14ac:dyDescent="0.3">
      <c r="A331" s="8" t="s">
        <v>37</v>
      </c>
      <c r="B331" s="2" t="s">
        <v>38</v>
      </c>
      <c r="C331" s="5" t="s">
        <v>39</v>
      </c>
      <c r="D331" s="5" t="s">
        <v>40</v>
      </c>
      <c r="E331" s="5" t="s">
        <v>41</v>
      </c>
      <c r="F331" s="5" t="s">
        <v>34</v>
      </c>
      <c r="G331" s="17" t="s">
        <v>45</v>
      </c>
      <c r="H331" s="8" t="s">
        <v>60</v>
      </c>
      <c r="I331" s="17" t="s">
        <v>46</v>
      </c>
      <c r="J331" s="8" t="s">
        <v>101</v>
      </c>
      <c r="K331" s="8" t="s">
        <v>96</v>
      </c>
    </row>
    <row r="332" spans="1:11" x14ac:dyDescent="0.3">
      <c r="A332" s="9">
        <v>3.446438890190729E-2</v>
      </c>
      <c r="B332" s="4">
        <f>+B328</f>
        <v>4.4200000000000003E-2</v>
      </c>
      <c r="C332" s="2">
        <f>+A332*B327</f>
        <v>6.8928777803814586E-3</v>
      </c>
      <c r="D332" s="2">
        <f>+B327+2*A332</f>
        <v>0.26892877780381458</v>
      </c>
      <c r="E332" s="2">
        <f>C332/D332</f>
        <v>2.5630867163683988E-2</v>
      </c>
      <c r="F332" s="2">
        <f>C332*(E332^(2/3))*(B332^(1/2))/B325</f>
        <v>9.6904488506271078E-3</v>
      </c>
      <c r="G332" s="31">
        <f>ROUND(A332,2)</f>
        <v>0.03</v>
      </c>
      <c r="H332" s="20">
        <f>+ROUND(G332,4)*100</f>
        <v>3</v>
      </c>
      <c r="I332" s="2">
        <f>4/5*B329</f>
        <v>0.76</v>
      </c>
      <c r="J332" s="9">
        <f>+(B329-G332)*100</f>
        <v>92</v>
      </c>
      <c r="K332" s="20">
        <f>+B324/C332</f>
        <v>1.3700357368539147</v>
      </c>
    </row>
    <row r="334" spans="1:11" x14ac:dyDescent="0.3">
      <c r="F334" s="1" t="s">
        <v>47</v>
      </c>
      <c r="G334" s="1"/>
      <c r="H334" s="1"/>
      <c r="I334" s="1" t="str">
        <f>IF(G332&lt;I332,"CUMPLE","NO CUMPLE")</f>
        <v>CUMPLE</v>
      </c>
    </row>
    <row r="335" spans="1:11" x14ac:dyDescent="0.3">
      <c r="F335" s="1" t="s">
        <v>97</v>
      </c>
      <c r="G335" s="1"/>
      <c r="I335" s="1" t="str">
        <f>+IF(K332&lt;3,"CUMPLE","Verificar Ancho")</f>
        <v>CUMPLE</v>
      </c>
    </row>
    <row r="336" spans="1:11" x14ac:dyDescent="0.3">
      <c r="F336" s="1"/>
      <c r="G336" s="1"/>
      <c r="I336" s="1"/>
    </row>
    <row r="338" spans="1:7" ht="18" x14ac:dyDescent="0.35">
      <c r="A338" s="10" t="s">
        <v>174</v>
      </c>
    </row>
    <row r="339" spans="1:7" x14ac:dyDescent="0.3">
      <c r="B339" s="2" t="s">
        <v>20</v>
      </c>
      <c r="C339" s="2" t="s">
        <v>13</v>
      </c>
      <c r="D339" s="2" t="s">
        <v>17</v>
      </c>
      <c r="E339" s="2" t="s">
        <v>22</v>
      </c>
      <c r="F339" s="2" t="s">
        <v>18</v>
      </c>
      <c r="G339" s="2" t="s">
        <v>19</v>
      </c>
    </row>
    <row r="340" spans="1:7" x14ac:dyDescent="0.3">
      <c r="A340" s="2" t="s">
        <v>54</v>
      </c>
      <c r="B340" s="47"/>
      <c r="C340" s="48"/>
      <c r="D340" s="48"/>
      <c r="E340" s="49"/>
      <c r="F340" s="6">
        <f>+B324</f>
        <v>9.4434888888888877E-3</v>
      </c>
      <c r="G340" s="2"/>
    </row>
    <row r="341" spans="1:7" x14ac:dyDescent="0.3">
      <c r="A341" s="11"/>
      <c r="B341" s="11"/>
      <c r="C341" s="11"/>
      <c r="D341" s="11"/>
      <c r="E341" s="11"/>
      <c r="F341" s="12"/>
      <c r="G341" s="12"/>
    </row>
    <row r="342" spans="1:7" x14ac:dyDescent="0.3">
      <c r="F342" s="2" t="s">
        <v>43</v>
      </c>
      <c r="G342" s="6">
        <f>+F340</f>
        <v>9.4434888888888877E-3</v>
      </c>
    </row>
    <row r="343" spans="1:7" x14ac:dyDescent="0.3">
      <c r="A343" s="1" t="s">
        <v>71</v>
      </c>
      <c r="B343" s="1"/>
      <c r="C343" s="1"/>
    </row>
    <row r="344" spans="1:7" x14ac:dyDescent="0.3">
      <c r="A344" s="5" t="s">
        <v>66</v>
      </c>
      <c r="B344" s="14">
        <f>+G342</f>
        <v>9.4434888888888877E-3</v>
      </c>
      <c r="C344" t="s">
        <v>15</v>
      </c>
    </row>
    <row r="345" spans="1:7" x14ac:dyDescent="0.3">
      <c r="A345" s="5" t="s">
        <v>56</v>
      </c>
      <c r="B345" s="7">
        <v>0.01</v>
      </c>
      <c r="D345" s="1"/>
    </row>
    <row r="346" spans="1:7" ht="18" customHeight="1" x14ac:dyDescent="0.35">
      <c r="A346" s="21" t="s">
        <v>93</v>
      </c>
      <c r="B346" s="15">
        <f>180*PI()/180</f>
        <v>3.1415926535897931</v>
      </c>
      <c r="C346" t="s">
        <v>58</v>
      </c>
    </row>
    <row r="347" spans="1:7" x14ac:dyDescent="0.3">
      <c r="A347" s="5" t="s">
        <v>38</v>
      </c>
      <c r="B347" s="7">
        <v>0.05</v>
      </c>
      <c r="C347" t="s">
        <v>50</v>
      </c>
    </row>
    <row r="348" spans="1:7" x14ac:dyDescent="0.3">
      <c r="A348" s="23" t="s">
        <v>57</v>
      </c>
      <c r="B348" s="22">
        <v>6</v>
      </c>
      <c r="C348" t="s">
        <v>65</v>
      </c>
      <c r="G348" s="13"/>
    </row>
    <row r="350" spans="1:7" x14ac:dyDescent="0.3">
      <c r="A350" s="8" t="s">
        <v>57</v>
      </c>
      <c r="B350" s="2" t="s">
        <v>38</v>
      </c>
      <c r="C350" s="5" t="s">
        <v>39</v>
      </c>
      <c r="D350" s="5" t="s">
        <v>40</v>
      </c>
      <c r="E350" s="5" t="s">
        <v>41</v>
      </c>
      <c r="F350" s="8" t="s">
        <v>99</v>
      </c>
      <c r="G350" s="8" t="s">
        <v>96</v>
      </c>
    </row>
    <row r="351" spans="1:7" x14ac:dyDescent="0.3">
      <c r="A351" s="9">
        <f>+B348*0.0254</f>
        <v>0.15239999999999998</v>
      </c>
      <c r="B351" s="2">
        <f>+B347</f>
        <v>0.05</v>
      </c>
      <c r="C351" s="4">
        <f>+((B346-SIN(B346))*(A351)^2)/8</f>
        <v>9.1207346237549575E-3</v>
      </c>
      <c r="D351" s="2">
        <f>+B346*A351/2</f>
        <v>0.23938936020354221</v>
      </c>
      <c r="E351" s="2">
        <f>(1-SIN(B346)/B346)*(A351)/4</f>
        <v>3.8099999999999995E-2</v>
      </c>
      <c r="F351" s="9">
        <f>C351*(E351^(2/3))*(B351^(1/2))/B345</f>
        <v>2.3092173170758012E-2</v>
      </c>
      <c r="G351" s="20">
        <f>+B344/C351</f>
        <v>1.0353868716115604</v>
      </c>
    </row>
    <row r="353" spans="1:7" x14ac:dyDescent="0.3">
      <c r="C353" s="1" t="s">
        <v>100</v>
      </c>
      <c r="D353" s="1"/>
      <c r="F353" s="1" t="str">
        <f>+IF(B344&lt;F351,"CUMPLE","NO CUMPLE")</f>
        <v>CUMPLE</v>
      </c>
      <c r="G353" s="1"/>
    </row>
    <row r="354" spans="1:7" x14ac:dyDescent="0.3">
      <c r="C354" s="1" t="s">
        <v>98</v>
      </c>
      <c r="D354" s="1"/>
      <c r="F354" s="1" t="str">
        <f>+IF(G351&lt;5,"CUMPLE","Verificar Diametro")</f>
        <v>CUMPLE</v>
      </c>
      <c r="G354" s="1"/>
    </row>
    <row r="355" spans="1:7" x14ac:dyDescent="0.3">
      <c r="C355" s="1" t="s">
        <v>69</v>
      </c>
      <c r="D355" s="1"/>
    </row>
    <row r="356" spans="1:7" x14ac:dyDescent="0.3">
      <c r="D356" s="27" t="s">
        <v>59</v>
      </c>
      <c r="E356" s="27">
        <f>IF(B344&lt;F351,A351/0.0254,"Modificar Diametro")</f>
        <v>5.9999999999999991</v>
      </c>
      <c r="F356" s="27" t="s">
        <v>65</v>
      </c>
    </row>
    <row r="359" spans="1:7" ht="18" x14ac:dyDescent="0.35">
      <c r="A359" s="10" t="s">
        <v>175</v>
      </c>
    </row>
    <row r="360" spans="1:7" x14ac:dyDescent="0.3">
      <c r="B360" s="2" t="s">
        <v>20</v>
      </c>
      <c r="C360" s="2" t="s">
        <v>13</v>
      </c>
      <c r="D360" s="2" t="s">
        <v>17</v>
      </c>
      <c r="E360" s="2" t="s">
        <v>22</v>
      </c>
      <c r="F360" s="2" t="s">
        <v>18</v>
      </c>
      <c r="G360" s="2" t="s">
        <v>19</v>
      </c>
    </row>
    <row r="361" spans="1:7" x14ac:dyDescent="0.3">
      <c r="A361" s="2" t="s">
        <v>54</v>
      </c>
      <c r="B361" s="47"/>
      <c r="C361" s="48"/>
      <c r="D361" s="48"/>
      <c r="E361" s="49"/>
      <c r="F361" s="6">
        <f>+B344</f>
        <v>9.4434888888888877E-3</v>
      </c>
      <c r="G361" s="2"/>
    </row>
    <row r="362" spans="1:7" x14ac:dyDescent="0.3">
      <c r="A362" s="2" t="s">
        <v>80</v>
      </c>
      <c r="B362" s="2">
        <f>20/10000</f>
        <v>2E-3</v>
      </c>
      <c r="C362" s="2">
        <v>0.97</v>
      </c>
      <c r="D362" s="2">
        <v>100</v>
      </c>
      <c r="E362" s="2"/>
      <c r="F362" s="6">
        <f t="shared" ref="F362" si="8">+B362*C362*D362/360</f>
        <v>5.3888888888888888E-4</v>
      </c>
      <c r="G362" s="6"/>
    </row>
    <row r="363" spans="1:7" x14ac:dyDescent="0.3">
      <c r="A363" s="11"/>
      <c r="B363" s="24"/>
      <c r="C363" s="24"/>
      <c r="D363" s="24"/>
      <c r="E363" s="24"/>
      <c r="F363" s="12"/>
      <c r="G363" s="11"/>
    </row>
    <row r="364" spans="1:7" x14ac:dyDescent="0.3">
      <c r="A364" s="11"/>
      <c r="B364" s="11"/>
      <c r="C364" s="11"/>
      <c r="D364" s="11"/>
      <c r="E364" s="11"/>
      <c r="F364" s="12"/>
      <c r="G364" s="12"/>
    </row>
    <row r="365" spans="1:7" x14ac:dyDescent="0.3">
      <c r="F365" s="2" t="s">
        <v>43</v>
      </c>
      <c r="G365" s="6">
        <f>+F361+F362</f>
        <v>9.9823777777777768E-3</v>
      </c>
    </row>
    <row r="367" spans="1:7" x14ac:dyDescent="0.3">
      <c r="A367" s="1" t="s">
        <v>33</v>
      </c>
      <c r="B367" s="1"/>
      <c r="C367" s="1"/>
    </row>
    <row r="368" spans="1:7" x14ac:dyDescent="0.3">
      <c r="A368" s="5" t="s">
        <v>34</v>
      </c>
      <c r="B368" s="14">
        <f>+G365</f>
        <v>9.9823777777777768E-3</v>
      </c>
      <c r="C368" t="s">
        <v>15</v>
      </c>
    </row>
    <row r="369" spans="1:11" x14ac:dyDescent="0.3">
      <c r="A369" s="5" t="s">
        <v>44</v>
      </c>
      <c r="B369" s="7">
        <v>1.2999999999999999E-2</v>
      </c>
    </row>
    <row r="370" spans="1:11" x14ac:dyDescent="0.3">
      <c r="A370" s="5" t="s">
        <v>35</v>
      </c>
      <c r="B370" s="7">
        <v>0</v>
      </c>
    </row>
    <row r="371" spans="1:11" x14ac:dyDescent="0.3">
      <c r="A371" s="5" t="s">
        <v>36</v>
      </c>
      <c r="B371" s="7">
        <v>0.3</v>
      </c>
      <c r="C371" t="s">
        <v>49</v>
      </c>
    </row>
    <row r="372" spans="1:11" x14ac:dyDescent="0.3">
      <c r="A372" s="5" t="s">
        <v>38</v>
      </c>
      <c r="B372" s="7">
        <v>0.01</v>
      </c>
      <c r="C372" t="s">
        <v>50</v>
      </c>
    </row>
    <row r="373" spans="1:11" x14ac:dyDescent="0.3">
      <c r="A373" s="5" t="s">
        <v>48</v>
      </c>
      <c r="B373" s="7">
        <v>0.43</v>
      </c>
      <c r="C373" t="s">
        <v>49</v>
      </c>
      <c r="G373" s="13"/>
      <c r="H373" s="13"/>
    </row>
    <row r="375" spans="1:11" x14ac:dyDescent="0.3">
      <c r="A375" s="8" t="s">
        <v>37</v>
      </c>
      <c r="B375" s="2" t="s">
        <v>38</v>
      </c>
      <c r="C375" s="5" t="s">
        <v>39</v>
      </c>
      <c r="D375" s="5" t="s">
        <v>40</v>
      </c>
      <c r="E375" s="5" t="s">
        <v>41</v>
      </c>
      <c r="F375" s="5" t="s">
        <v>34</v>
      </c>
      <c r="G375" s="17" t="s">
        <v>45</v>
      </c>
      <c r="H375" s="8" t="s">
        <v>60</v>
      </c>
      <c r="I375" s="17" t="s">
        <v>46</v>
      </c>
      <c r="J375" s="8" t="s">
        <v>101</v>
      </c>
      <c r="K375" s="8" t="s">
        <v>96</v>
      </c>
    </row>
    <row r="376" spans="1:11" x14ac:dyDescent="0.3">
      <c r="A376" s="9">
        <v>4.2431570258607838E-2</v>
      </c>
      <c r="B376" s="4">
        <f>+B372</f>
        <v>0.01</v>
      </c>
      <c r="C376" s="2">
        <f>+A376*B371</f>
        <v>1.2729471077582351E-2</v>
      </c>
      <c r="D376" s="2">
        <f>+B371+2*A376</f>
        <v>0.38486314051721565</v>
      </c>
      <c r="E376" s="2">
        <f>C376/D376</f>
        <v>3.3075318827558486E-2</v>
      </c>
      <c r="F376" s="2">
        <f>C376*(E376^(2/3))*(B376^(1/2))/B369</f>
        <v>1.0089501266158733E-2</v>
      </c>
      <c r="G376" s="31">
        <f>ROUND(A376,2)</f>
        <v>0.04</v>
      </c>
      <c r="H376" s="20">
        <f>+ROUND(G376,4)*100</f>
        <v>4</v>
      </c>
      <c r="I376" s="2">
        <f>4/5*B373</f>
        <v>0.34400000000000003</v>
      </c>
      <c r="J376" s="9">
        <f>+(B373-G376)*100</f>
        <v>39</v>
      </c>
      <c r="K376" s="20">
        <f>+B368/C376</f>
        <v>0.78419423061163696</v>
      </c>
    </row>
    <row r="378" spans="1:11" x14ac:dyDescent="0.3">
      <c r="F378" s="1" t="s">
        <v>47</v>
      </c>
      <c r="G378" s="1"/>
      <c r="H378" s="1"/>
      <c r="I378" s="1" t="str">
        <f>IF(G376&lt;I376,"CUMPLE","NO CUMPLE")</f>
        <v>CUMPLE</v>
      </c>
    </row>
    <row r="379" spans="1:11" x14ac:dyDescent="0.3">
      <c r="F379" s="1" t="s">
        <v>97</v>
      </c>
      <c r="G379" s="1"/>
      <c r="I379" s="1" t="str">
        <f>+IF(K376&lt;3,"CUMPLE","Verificar Ancho")</f>
        <v>CUMPLE</v>
      </c>
    </row>
    <row r="380" spans="1:11" x14ac:dyDescent="0.3">
      <c r="F380" s="1"/>
      <c r="G380" s="1"/>
      <c r="I380" s="1"/>
    </row>
    <row r="382" spans="1:11" ht="18" x14ac:dyDescent="0.35">
      <c r="A382" s="37" t="s">
        <v>176</v>
      </c>
    </row>
    <row r="383" spans="1:11" x14ac:dyDescent="0.3">
      <c r="B383" s="2" t="s">
        <v>20</v>
      </c>
      <c r="C383" s="2" t="s">
        <v>13</v>
      </c>
      <c r="D383" s="2" t="s">
        <v>17</v>
      </c>
      <c r="E383" s="2" t="s">
        <v>22</v>
      </c>
      <c r="F383" s="2" t="s">
        <v>18</v>
      </c>
      <c r="G383" s="2" t="s">
        <v>19</v>
      </c>
    </row>
    <row r="384" spans="1:11" x14ac:dyDescent="0.3">
      <c r="A384" s="2" t="s">
        <v>54</v>
      </c>
      <c r="B384" s="47"/>
      <c r="C384" s="48"/>
      <c r="D384" s="48"/>
      <c r="E384" s="49"/>
      <c r="F384" s="6">
        <f>+B368</f>
        <v>9.9823777777777768E-3</v>
      </c>
      <c r="G384" s="2"/>
    </row>
    <row r="385" spans="1:11" x14ac:dyDescent="0.3">
      <c r="A385" s="2" t="s">
        <v>129</v>
      </c>
      <c r="B385" s="2">
        <f>(685+35)/10000</f>
        <v>7.1999999999999995E-2</v>
      </c>
      <c r="C385" s="2">
        <v>0.97</v>
      </c>
      <c r="D385" s="2">
        <v>100</v>
      </c>
      <c r="E385" s="2"/>
      <c r="F385" s="6">
        <f t="shared" ref="F385" si="9">+B385*C385*D385/360</f>
        <v>1.9400000000000001E-2</v>
      </c>
      <c r="G385" s="6"/>
    </row>
    <row r="386" spans="1:11" x14ac:dyDescent="0.3">
      <c r="A386" s="11"/>
      <c r="B386" s="24"/>
      <c r="C386" s="24"/>
      <c r="D386" s="24"/>
      <c r="E386" s="24"/>
      <c r="F386" s="12"/>
      <c r="G386" s="11"/>
    </row>
    <row r="387" spans="1:11" x14ac:dyDescent="0.3">
      <c r="A387" s="11"/>
      <c r="B387" s="11"/>
      <c r="C387" s="11"/>
      <c r="D387" s="11"/>
      <c r="E387" s="11"/>
      <c r="F387" s="12"/>
      <c r="G387" s="12"/>
    </row>
    <row r="388" spans="1:11" x14ac:dyDescent="0.3">
      <c r="F388" s="2" t="s">
        <v>43</v>
      </c>
      <c r="G388" s="6">
        <f>+F384+F385</f>
        <v>2.9382377777777777E-2</v>
      </c>
    </row>
    <row r="390" spans="1:11" x14ac:dyDescent="0.3">
      <c r="A390" s="1" t="s">
        <v>33</v>
      </c>
      <c r="B390" s="1"/>
      <c r="C390" s="1"/>
    </row>
    <row r="391" spans="1:11" x14ac:dyDescent="0.3">
      <c r="A391" s="5" t="s">
        <v>34</v>
      </c>
      <c r="B391" s="14">
        <f>+G388</f>
        <v>2.9382377777777777E-2</v>
      </c>
      <c r="C391" t="s">
        <v>15</v>
      </c>
    </row>
    <row r="392" spans="1:11" x14ac:dyDescent="0.3">
      <c r="A392" s="5" t="s">
        <v>44</v>
      </c>
      <c r="B392" s="7">
        <v>1.2999999999999999E-2</v>
      </c>
    </row>
    <row r="393" spans="1:11" x14ac:dyDescent="0.3">
      <c r="A393" s="5" t="s">
        <v>35</v>
      </c>
      <c r="B393" s="7">
        <v>0</v>
      </c>
    </row>
    <row r="394" spans="1:11" x14ac:dyDescent="0.3">
      <c r="A394" s="5" t="s">
        <v>36</v>
      </c>
      <c r="B394" s="7">
        <v>0.3</v>
      </c>
      <c r="C394" t="s">
        <v>49</v>
      </c>
    </row>
    <row r="395" spans="1:11" x14ac:dyDescent="0.3">
      <c r="A395" s="5" t="s">
        <v>38</v>
      </c>
      <c r="B395" s="7">
        <v>0.01</v>
      </c>
      <c r="C395" t="s">
        <v>50</v>
      </c>
    </row>
    <row r="396" spans="1:11" x14ac:dyDescent="0.3">
      <c r="A396" s="5" t="s">
        <v>48</v>
      </c>
      <c r="B396" s="7">
        <v>0.56000000000000005</v>
      </c>
      <c r="C396" t="s">
        <v>49</v>
      </c>
      <c r="G396" s="13"/>
      <c r="H396" s="13"/>
    </row>
    <row r="398" spans="1:11" x14ac:dyDescent="0.3">
      <c r="A398" s="8" t="s">
        <v>37</v>
      </c>
      <c r="B398" s="2" t="s">
        <v>38</v>
      </c>
      <c r="C398" s="5" t="s">
        <v>39</v>
      </c>
      <c r="D398" s="5" t="s">
        <v>40</v>
      </c>
      <c r="E398" s="5" t="s">
        <v>41</v>
      </c>
      <c r="F398" s="5" t="s">
        <v>34</v>
      </c>
      <c r="G398" s="17" t="s">
        <v>45</v>
      </c>
      <c r="H398" s="8" t="s">
        <v>60</v>
      </c>
      <c r="I398" s="17" t="s">
        <v>46</v>
      </c>
      <c r="J398" s="8" t="s">
        <v>101</v>
      </c>
      <c r="K398" s="8" t="s">
        <v>96</v>
      </c>
    </row>
    <row r="399" spans="1:11" x14ac:dyDescent="0.3">
      <c r="A399" s="9">
        <v>8.8099576783244454E-2</v>
      </c>
      <c r="B399" s="4">
        <f>+B395</f>
        <v>0.01</v>
      </c>
      <c r="C399" s="2">
        <f>+A399*B394</f>
        <v>2.6429873034973336E-2</v>
      </c>
      <c r="D399" s="2">
        <f>+B394+2*A399</f>
        <v>0.4761991535664889</v>
      </c>
      <c r="E399" s="2">
        <f>C399/D399</f>
        <v>5.550172199389071E-2</v>
      </c>
      <c r="F399" s="2">
        <f>C399*(E399^(2/3))*(B399^(1/2))/B392</f>
        <v>2.958167057264522E-2</v>
      </c>
      <c r="G399" s="31">
        <f>ROUND(A399,2)</f>
        <v>0.09</v>
      </c>
      <c r="H399" s="20">
        <f>+ROUND(G399,4)*100</f>
        <v>9</v>
      </c>
      <c r="I399" s="2">
        <f>4/5*B396</f>
        <v>0.44800000000000006</v>
      </c>
      <c r="J399" s="9">
        <f>+(B396-G399)*100</f>
        <v>47.000000000000007</v>
      </c>
      <c r="K399" s="20">
        <f>+B391/C399</f>
        <v>1.1117108939152882</v>
      </c>
    </row>
    <row r="401" spans="1:9" x14ac:dyDescent="0.3">
      <c r="F401" s="1" t="s">
        <v>47</v>
      </c>
      <c r="G401" s="1"/>
      <c r="H401" s="1"/>
      <c r="I401" s="1" t="str">
        <f>IF(G399&lt;I399,"CUMPLE","NO CUMPLE")</f>
        <v>CUMPLE</v>
      </c>
    </row>
    <row r="402" spans="1:9" x14ac:dyDescent="0.3">
      <c r="F402" s="1" t="s">
        <v>97</v>
      </c>
      <c r="G402" s="1"/>
      <c r="I402" s="1" t="str">
        <f>+IF(K399&lt;3,"CUMPLE","Verificar Ancho")</f>
        <v>CUMPLE</v>
      </c>
    </row>
    <row r="403" spans="1:9" x14ac:dyDescent="0.3">
      <c r="F403" s="1"/>
      <c r="G403" s="1"/>
      <c r="I403" s="1"/>
    </row>
    <row r="405" spans="1:9" ht="18" x14ac:dyDescent="0.35">
      <c r="A405" s="10" t="s">
        <v>177</v>
      </c>
    </row>
    <row r="406" spans="1:9" x14ac:dyDescent="0.3">
      <c r="B406" s="2" t="s">
        <v>20</v>
      </c>
      <c r="C406" s="2" t="s">
        <v>13</v>
      </c>
      <c r="D406" s="2" t="s">
        <v>17</v>
      </c>
      <c r="E406" s="2" t="s">
        <v>22</v>
      </c>
      <c r="F406" s="2" t="s">
        <v>18</v>
      </c>
      <c r="G406" s="2" t="s">
        <v>19</v>
      </c>
    </row>
    <row r="407" spans="1:9" x14ac:dyDescent="0.3">
      <c r="A407" s="2" t="s">
        <v>54</v>
      </c>
      <c r="B407" s="47"/>
      <c r="C407" s="48"/>
      <c r="D407" s="48"/>
      <c r="E407" s="49"/>
      <c r="F407" s="6">
        <f>+B259+B391</f>
        <v>8.7998669444444441E-2</v>
      </c>
      <c r="G407" s="2"/>
    </row>
    <row r="408" spans="1:9" x14ac:dyDescent="0.3">
      <c r="A408" s="2" t="s">
        <v>128</v>
      </c>
      <c r="B408" s="2">
        <f>(0.25*660)/10000</f>
        <v>1.6500000000000001E-2</v>
      </c>
      <c r="C408" s="2">
        <v>0.97</v>
      </c>
      <c r="D408" s="2">
        <v>100</v>
      </c>
      <c r="E408" s="2"/>
      <c r="F408" s="6">
        <f t="shared" ref="F408:F409" si="10">+B408*C408*D408/360</f>
        <v>4.4458333333333338E-3</v>
      </c>
      <c r="G408" s="2"/>
    </row>
    <row r="409" spans="1:9" x14ac:dyDescent="0.3">
      <c r="A409" s="2" t="s">
        <v>94</v>
      </c>
      <c r="B409" s="2">
        <f>(45)/10000</f>
        <v>4.4999999999999997E-3</v>
      </c>
      <c r="C409" s="2">
        <v>0.97</v>
      </c>
      <c r="D409" s="2">
        <v>100</v>
      </c>
      <c r="E409" s="2"/>
      <c r="F409" s="6">
        <f t="shared" si="10"/>
        <v>1.2125E-3</v>
      </c>
      <c r="G409" s="2"/>
    </row>
    <row r="410" spans="1:9" x14ac:dyDescent="0.3">
      <c r="A410" s="11"/>
      <c r="B410" s="11"/>
      <c r="C410" s="11"/>
      <c r="D410" s="11"/>
      <c r="E410" s="11"/>
    </row>
    <row r="411" spans="1:9" x14ac:dyDescent="0.3">
      <c r="F411" s="2" t="s">
        <v>43</v>
      </c>
      <c r="G411" s="6">
        <f>+F407+F408+F409</f>
        <v>9.3657002777777776E-2</v>
      </c>
    </row>
    <row r="413" spans="1:9" x14ac:dyDescent="0.3">
      <c r="A413" s="1" t="s">
        <v>33</v>
      </c>
      <c r="B413" s="1"/>
      <c r="C413" s="1"/>
    </row>
    <row r="414" spans="1:9" x14ac:dyDescent="0.3">
      <c r="A414" s="5" t="s">
        <v>34</v>
      </c>
      <c r="B414" s="14">
        <f>+G411</f>
        <v>9.3657002777777776E-2</v>
      </c>
      <c r="C414" t="s">
        <v>15</v>
      </c>
    </row>
    <row r="415" spans="1:9" x14ac:dyDescent="0.3">
      <c r="A415" s="5" t="s">
        <v>44</v>
      </c>
      <c r="B415" s="7">
        <v>1.2999999999999999E-2</v>
      </c>
    </row>
    <row r="416" spans="1:9" x14ac:dyDescent="0.3">
      <c r="A416" s="5" t="s">
        <v>35</v>
      </c>
      <c r="B416" s="7">
        <v>0</v>
      </c>
    </row>
    <row r="417" spans="1:11" x14ac:dyDescent="0.3">
      <c r="A417" s="5" t="s">
        <v>36</v>
      </c>
      <c r="B417" s="7">
        <v>0.3</v>
      </c>
      <c r="C417" t="s">
        <v>49</v>
      </c>
    </row>
    <row r="418" spans="1:11" x14ac:dyDescent="0.3">
      <c r="A418" s="5" t="s">
        <v>38</v>
      </c>
      <c r="B418" s="7">
        <v>0.01</v>
      </c>
      <c r="C418" t="s">
        <v>50</v>
      </c>
    </row>
    <row r="419" spans="1:11" x14ac:dyDescent="0.3">
      <c r="A419" s="5" t="s">
        <v>48</v>
      </c>
      <c r="B419" s="7">
        <v>0.69</v>
      </c>
      <c r="C419" t="s">
        <v>49</v>
      </c>
      <c r="G419" s="13"/>
      <c r="H419" s="13"/>
    </row>
    <row r="421" spans="1:11" x14ac:dyDescent="0.3">
      <c r="A421" s="8" t="s">
        <v>37</v>
      </c>
      <c r="B421" s="2" t="s">
        <v>38</v>
      </c>
      <c r="C421" s="5" t="s">
        <v>39</v>
      </c>
      <c r="D421" s="5" t="s">
        <v>40</v>
      </c>
      <c r="E421" s="5" t="s">
        <v>41</v>
      </c>
      <c r="F421" s="5" t="s">
        <v>34</v>
      </c>
      <c r="G421" s="17" t="s">
        <v>45</v>
      </c>
      <c r="H421" s="8" t="s">
        <v>60</v>
      </c>
      <c r="I421" s="17" t="s">
        <v>46</v>
      </c>
      <c r="J421" s="8" t="s">
        <v>101</v>
      </c>
      <c r="K421" s="8" t="s">
        <v>96</v>
      </c>
    </row>
    <row r="422" spans="1:11" x14ac:dyDescent="0.3">
      <c r="A422" s="9">
        <v>0.20684777270625393</v>
      </c>
      <c r="B422" s="4">
        <f>+B418</f>
        <v>0.01</v>
      </c>
      <c r="C422" s="2">
        <f>+A422*B417</f>
        <v>6.2054331811876175E-2</v>
      </c>
      <c r="D422" s="2">
        <f>+B417+2*A422</f>
        <v>0.71369554541250779</v>
      </c>
      <c r="E422" s="2">
        <f>C422/D422</f>
        <v>8.694790406182161E-2</v>
      </c>
      <c r="F422" s="2">
        <f>C422*(E422^(2/3))*(B422^(1/2))/B415</f>
        <v>9.3684590529762191E-2</v>
      </c>
      <c r="G422" s="31">
        <f>ROUND(A422,2)</f>
        <v>0.21</v>
      </c>
      <c r="H422" s="20">
        <f>+ROUND(G422,4)*100</f>
        <v>21</v>
      </c>
      <c r="I422" s="2">
        <f>4/5*B419</f>
        <v>0.55199999999999994</v>
      </c>
      <c r="J422" s="9">
        <f>+(B419-G422)*100</f>
        <v>48</v>
      </c>
      <c r="K422" s="20">
        <f>+B414/C422</f>
        <v>1.5092742125031371</v>
      </c>
    </row>
    <row r="424" spans="1:11" x14ac:dyDescent="0.3">
      <c r="F424" s="1" t="s">
        <v>47</v>
      </c>
      <c r="G424" s="1"/>
      <c r="H424" s="1"/>
      <c r="I424" s="1" t="str">
        <f>IF(G422&lt;I422,"CUMPLE","NO CUMPLE")</f>
        <v>CUMPLE</v>
      </c>
    </row>
    <row r="425" spans="1:11" x14ac:dyDescent="0.3">
      <c r="F425" s="1" t="s">
        <v>97</v>
      </c>
      <c r="G425" s="1"/>
      <c r="I425" s="1" t="str">
        <f>+IF(K422&lt;3,"CUMPLE","Verificar Ancho")</f>
        <v>CUMPLE</v>
      </c>
    </row>
    <row r="426" spans="1:11" x14ac:dyDescent="0.3">
      <c r="F426" s="1"/>
      <c r="G426" s="1"/>
      <c r="I426" s="1"/>
    </row>
    <row r="428" spans="1:11" ht="18" x14ac:dyDescent="0.35">
      <c r="A428" s="10" t="s">
        <v>178</v>
      </c>
    </row>
    <row r="429" spans="1:11" x14ac:dyDescent="0.3">
      <c r="B429" s="2" t="s">
        <v>20</v>
      </c>
      <c r="C429" s="2" t="s">
        <v>13</v>
      </c>
      <c r="D429" s="2" t="s">
        <v>17</v>
      </c>
      <c r="E429" s="2" t="s">
        <v>22</v>
      </c>
      <c r="F429" s="2" t="s">
        <v>18</v>
      </c>
      <c r="G429" s="2" t="s">
        <v>19</v>
      </c>
    </row>
    <row r="430" spans="1:11" x14ac:dyDescent="0.3">
      <c r="A430" s="2" t="s">
        <v>54</v>
      </c>
      <c r="B430" s="47"/>
      <c r="C430" s="48"/>
      <c r="D430" s="48"/>
      <c r="E430" s="49"/>
      <c r="F430" s="6">
        <f>+B414</f>
        <v>9.3657002777777776E-2</v>
      </c>
      <c r="G430" s="2"/>
    </row>
    <row r="431" spans="1:11" x14ac:dyDescent="0.3">
      <c r="A431" s="7" t="s">
        <v>25</v>
      </c>
      <c r="B431" s="2">
        <f>+$B$8/10000</f>
        <v>3.5923999999999998E-2</v>
      </c>
      <c r="C431" s="2">
        <v>0.97</v>
      </c>
      <c r="D431" s="2">
        <v>100</v>
      </c>
      <c r="E431" s="2">
        <v>6</v>
      </c>
      <c r="F431" s="6">
        <f t="shared" ref="F431" si="11">+B431*C431*D431/360</f>
        <v>9.679522222222221E-3</v>
      </c>
      <c r="G431" s="6">
        <f t="shared" ref="G431" si="12">+F431/E431</f>
        <v>1.6132537037037034E-3</v>
      </c>
    </row>
    <row r="432" spans="1:11" x14ac:dyDescent="0.3">
      <c r="A432" s="11"/>
      <c r="B432" s="11"/>
      <c r="C432" s="11"/>
      <c r="D432" s="11"/>
      <c r="E432" s="11"/>
      <c r="F432" s="12"/>
      <c r="G432" s="12"/>
    </row>
    <row r="433" spans="1:7" x14ac:dyDescent="0.3">
      <c r="F433" s="2" t="s">
        <v>43</v>
      </c>
      <c r="G433" s="6">
        <f>+F430+G431</f>
        <v>9.5270256481481477E-2</v>
      </c>
    </row>
    <row r="434" spans="1:7" x14ac:dyDescent="0.3">
      <c r="A434" s="1" t="s">
        <v>71</v>
      </c>
      <c r="B434" s="1"/>
      <c r="C434" s="1"/>
    </row>
    <row r="435" spans="1:7" x14ac:dyDescent="0.3">
      <c r="A435" s="5" t="s">
        <v>66</v>
      </c>
      <c r="B435" s="14">
        <f>+G433</f>
        <v>9.5270256481481477E-2</v>
      </c>
      <c r="C435" t="s">
        <v>15</v>
      </c>
    </row>
    <row r="436" spans="1:7" x14ac:dyDescent="0.3">
      <c r="A436" s="5" t="s">
        <v>56</v>
      </c>
      <c r="B436" s="7">
        <v>0.01</v>
      </c>
      <c r="D436" s="1"/>
      <c r="E436" s="1"/>
    </row>
    <row r="437" spans="1:7" ht="18" x14ac:dyDescent="0.35">
      <c r="A437" s="21" t="s">
        <v>93</v>
      </c>
      <c r="B437" s="15">
        <f>180*PI()/180</f>
        <v>3.1415926535897931</v>
      </c>
      <c r="C437" t="s">
        <v>58</v>
      </c>
    </row>
    <row r="438" spans="1:7" x14ac:dyDescent="0.3">
      <c r="A438" s="5" t="s">
        <v>38</v>
      </c>
      <c r="B438" s="7">
        <v>0.01</v>
      </c>
      <c r="C438" t="s">
        <v>50</v>
      </c>
    </row>
    <row r="439" spans="1:7" x14ac:dyDescent="0.3">
      <c r="A439" s="23" t="s">
        <v>57</v>
      </c>
      <c r="B439" s="22">
        <v>14</v>
      </c>
      <c r="C439" t="s">
        <v>65</v>
      </c>
      <c r="G439" s="13"/>
    </row>
    <row r="441" spans="1:7" x14ac:dyDescent="0.3">
      <c r="A441" s="8" t="s">
        <v>57</v>
      </c>
      <c r="B441" s="2" t="s">
        <v>38</v>
      </c>
      <c r="C441" s="5" t="s">
        <v>39</v>
      </c>
      <c r="D441" s="5" t="s">
        <v>40</v>
      </c>
      <c r="E441" s="5" t="s">
        <v>41</v>
      </c>
      <c r="F441" s="5" t="s">
        <v>99</v>
      </c>
      <c r="G441" s="17" t="s">
        <v>96</v>
      </c>
    </row>
    <row r="442" spans="1:7" x14ac:dyDescent="0.3">
      <c r="A442" s="9">
        <f>+B439*0.0254</f>
        <v>0.35559999999999997</v>
      </c>
      <c r="B442" s="2">
        <f>+B438</f>
        <v>0.01</v>
      </c>
      <c r="C442" s="4">
        <f>+((B437-SIN(B437))*(A442)^2)/8</f>
        <v>4.9657332951554771E-2</v>
      </c>
      <c r="D442" s="2">
        <f>+B437*A442/2</f>
        <v>0.55857517380826516</v>
      </c>
      <c r="E442" s="2">
        <f>(1-SIN(B437)/B437)*(A442)/4</f>
        <v>8.8899999999999993E-2</v>
      </c>
      <c r="F442" s="2">
        <f>C442*(E442^(2/3))*(B442^(1/2))/B436</f>
        <v>9.8912511891011676E-2</v>
      </c>
      <c r="G442" s="32">
        <f>+B435/C442</f>
        <v>1.9185536318357301</v>
      </c>
    </row>
    <row r="444" spans="1:7" x14ac:dyDescent="0.3">
      <c r="C444" s="1" t="s">
        <v>100</v>
      </c>
      <c r="D444" s="1"/>
      <c r="F444" s="1" t="str">
        <f>+IF(B435&lt;F442,"CUMPLE","NO CUMPLE")</f>
        <v>CUMPLE</v>
      </c>
      <c r="G444" s="1"/>
    </row>
    <row r="445" spans="1:7" x14ac:dyDescent="0.3">
      <c r="C445" s="1" t="s">
        <v>98</v>
      </c>
      <c r="D445" s="1"/>
      <c r="F445" s="1" t="str">
        <f>+IF(G442&lt;5,"CUMPLE","Verificar Diametro")</f>
        <v>CUMPLE</v>
      </c>
    </row>
    <row r="446" spans="1:7" x14ac:dyDescent="0.3">
      <c r="C446" s="1" t="s">
        <v>69</v>
      </c>
      <c r="D446" s="1"/>
    </row>
    <row r="447" spans="1:7" x14ac:dyDescent="0.3">
      <c r="D447" s="27" t="s">
        <v>59</v>
      </c>
      <c r="E447" s="27">
        <f>IF(B435&lt;F442,A442/0.0254,"Modificar Diametro")</f>
        <v>14</v>
      </c>
      <c r="F447" s="27" t="s">
        <v>65</v>
      </c>
    </row>
    <row r="450" spans="1:8" ht="18" x14ac:dyDescent="0.35">
      <c r="A450" s="37" t="s">
        <v>179</v>
      </c>
    </row>
    <row r="451" spans="1:8" x14ac:dyDescent="0.3">
      <c r="B451" s="2" t="s">
        <v>20</v>
      </c>
      <c r="C451" s="2" t="s">
        <v>13</v>
      </c>
      <c r="D451" s="2" t="s">
        <v>17</v>
      </c>
      <c r="E451" s="2" t="s">
        <v>22</v>
      </c>
      <c r="F451" s="2" t="s">
        <v>18</v>
      </c>
      <c r="G451" s="2" t="s">
        <v>19</v>
      </c>
    </row>
    <row r="452" spans="1:8" x14ac:dyDescent="0.3">
      <c r="A452" s="2" t="s">
        <v>54</v>
      </c>
      <c r="B452" s="47"/>
      <c r="C452" s="48"/>
      <c r="D452" s="48"/>
      <c r="E452" s="49"/>
      <c r="F452" s="6">
        <f>+B435</f>
        <v>9.5270256481481477E-2</v>
      </c>
      <c r="G452" s="2"/>
    </row>
    <row r="453" spans="1:8" x14ac:dyDescent="0.3">
      <c r="A453" s="2" t="s">
        <v>88</v>
      </c>
      <c r="B453" s="2">
        <f>102/10000</f>
        <v>1.0200000000000001E-2</v>
      </c>
      <c r="C453" s="2">
        <v>0.97</v>
      </c>
      <c r="D453" s="2">
        <v>100</v>
      </c>
      <c r="E453" s="2"/>
      <c r="F453" s="6">
        <f t="shared" ref="F453:F454" si="13">+B453*C453*D453/360</f>
        <v>2.7483333333333335E-3</v>
      </c>
      <c r="G453" s="2"/>
    </row>
    <row r="454" spans="1:8" x14ac:dyDescent="0.3">
      <c r="A454" s="7" t="s">
        <v>25</v>
      </c>
      <c r="B454" s="2">
        <f>+$B$8/10000</f>
        <v>3.5923999999999998E-2</v>
      </c>
      <c r="C454" s="2">
        <v>0.97</v>
      </c>
      <c r="D454" s="2">
        <v>100</v>
      </c>
      <c r="E454" s="2">
        <v>6</v>
      </c>
      <c r="F454" s="6">
        <f t="shared" si="13"/>
        <v>9.679522222222221E-3</v>
      </c>
      <c r="G454" s="6">
        <f t="shared" ref="G454" si="14">+F454/E454</f>
        <v>1.6132537037037034E-3</v>
      </c>
    </row>
    <row r="455" spans="1:8" x14ac:dyDescent="0.3">
      <c r="A455" s="11"/>
      <c r="B455" s="11"/>
      <c r="C455" s="11"/>
      <c r="D455" s="11"/>
      <c r="E455" s="11"/>
      <c r="F455" s="12"/>
      <c r="G455" s="12"/>
    </row>
    <row r="456" spans="1:8" x14ac:dyDescent="0.3">
      <c r="F456" s="2" t="s">
        <v>43</v>
      </c>
      <c r="G456" s="6">
        <f>+F452+F453+G454</f>
        <v>9.9631843518518517E-2</v>
      </c>
    </row>
    <row r="458" spans="1:8" x14ac:dyDescent="0.3">
      <c r="A458" s="1" t="s">
        <v>33</v>
      </c>
      <c r="B458" s="1"/>
      <c r="C458" s="1"/>
    </row>
    <row r="459" spans="1:8" x14ac:dyDescent="0.3">
      <c r="A459" s="5" t="s">
        <v>34</v>
      </c>
      <c r="B459" s="14">
        <f>+G456</f>
        <v>9.9631843518518517E-2</v>
      </c>
      <c r="C459" t="s">
        <v>15</v>
      </c>
    </row>
    <row r="460" spans="1:8" x14ac:dyDescent="0.3">
      <c r="A460" s="5" t="s">
        <v>44</v>
      </c>
      <c r="B460" s="7">
        <v>1.2999999999999999E-2</v>
      </c>
    </row>
    <row r="461" spans="1:8" x14ac:dyDescent="0.3">
      <c r="A461" s="5" t="s">
        <v>35</v>
      </c>
      <c r="B461" s="7">
        <v>0</v>
      </c>
    </row>
    <row r="462" spans="1:8" x14ac:dyDescent="0.3">
      <c r="A462" s="5" t="s">
        <v>36</v>
      </c>
      <c r="B462" s="7">
        <v>0.3</v>
      </c>
      <c r="C462" t="s">
        <v>49</v>
      </c>
    </row>
    <row r="463" spans="1:8" x14ac:dyDescent="0.3">
      <c r="A463" s="5" t="s">
        <v>38</v>
      </c>
      <c r="B463" s="7">
        <v>0.01</v>
      </c>
      <c r="C463" t="s">
        <v>50</v>
      </c>
      <c r="H463" s="13"/>
    </row>
    <row r="464" spans="1:8" x14ac:dyDescent="0.3">
      <c r="A464" s="5" t="s">
        <v>48</v>
      </c>
      <c r="B464" s="7">
        <v>0.92</v>
      </c>
      <c r="C464" t="s">
        <v>49</v>
      </c>
      <c r="G464" s="13"/>
    </row>
    <row r="466" spans="1:11" x14ac:dyDescent="0.3">
      <c r="A466" s="8" t="s">
        <v>37</v>
      </c>
      <c r="B466" s="2" t="s">
        <v>38</v>
      </c>
      <c r="C466" s="5" t="s">
        <v>39</v>
      </c>
      <c r="D466" s="5" t="s">
        <v>40</v>
      </c>
      <c r="E466" s="5" t="s">
        <v>41</v>
      </c>
      <c r="F466" s="5" t="s">
        <v>34</v>
      </c>
      <c r="G466" s="17" t="s">
        <v>45</v>
      </c>
      <c r="H466" s="8" t="s">
        <v>60</v>
      </c>
      <c r="I466" s="17" t="s">
        <v>46</v>
      </c>
      <c r="J466" s="8" t="s">
        <v>101</v>
      </c>
      <c r="K466" s="8" t="s">
        <v>96</v>
      </c>
    </row>
    <row r="467" spans="1:11" x14ac:dyDescent="0.3">
      <c r="A467" s="9">
        <v>0.21763163919065953</v>
      </c>
      <c r="B467" s="4">
        <f>+B463</f>
        <v>0.01</v>
      </c>
      <c r="C467" s="2">
        <f>+A467*B462</f>
        <v>6.5289491757197851E-2</v>
      </c>
      <c r="D467" s="2">
        <f>+B462+2*A467</f>
        <v>0.73526327838131911</v>
      </c>
      <c r="E467" s="2">
        <f>C467/D467</f>
        <v>8.8797433078573657E-2</v>
      </c>
      <c r="F467" s="2">
        <f>C467*(E467^(2/3))*(B467^(1/2))/B460</f>
        <v>9.9961679264330319E-2</v>
      </c>
      <c r="G467" s="31">
        <f>ROUND(A467,2)</f>
        <v>0.22</v>
      </c>
      <c r="H467" s="20">
        <f>+ROUND(G467,4)*100</f>
        <v>22</v>
      </c>
      <c r="I467" s="2">
        <f>4/5*B464</f>
        <v>0.7360000000000001</v>
      </c>
      <c r="J467" s="9">
        <f>+(B464-G467)*100</f>
        <v>70</v>
      </c>
      <c r="K467" s="20">
        <f>+B459/C467</f>
        <v>1.5260012114818551</v>
      </c>
    </row>
    <row r="469" spans="1:11" x14ac:dyDescent="0.3">
      <c r="F469" s="1" t="s">
        <v>47</v>
      </c>
      <c r="G469" s="1"/>
      <c r="H469" s="1"/>
      <c r="I469" s="1" t="str">
        <f>IF(G467&lt;I467,"CUMPLE","NO CUMPLE")</f>
        <v>CUMPLE</v>
      </c>
    </row>
    <row r="470" spans="1:11" x14ac:dyDescent="0.3">
      <c r="F470" s="1" t="s">
        <v>97</v>
      </c>
      <c r="G470" s="1"/>
      <c r="I470" s="1" t="str">
        <f>+IF(K467&lt;3,"CUMPLE","Verificar Ancho")</f>
        <v>CUMPLE</v>
      </c>
    </row>
    <row r="471" spans="1:11" x14ac:dyDescent="0.3">
      <c r="F471" s="1"/>
      <c r="G471" s="1"/>
      <c r="I471" s="1"/>
    </row>
    <row r="473" spans="1:11" ht="18" x14ac:dyDescent="0.35">
      <c r="A473" s="26" t="s">
        <v>180</v>
      </c>
    </row>
    <row r="474" spans="1:11" x14ac:dyDescent="0.3">
      <c r="B474" s="2" t="s">
        <v>20</v>
      </c>
      <c r="C474" s="2" t="s">
        <v>13</v>
      </c>
      <c r="D474" s="2" t="s">
        <v>17</v>
      </c>
      <c r="E474" s="2" t="s">
        <v>22</v>
      </c>
      <c r="F474" s="2" t="s">
        <v>18</v>
      </c>
      <c r="G474" s="2" t="s">
        <v>19</v>
      </c>
    </row>
    <row r="475" spans="1:11" x14ac:dyDescent="0.3">
      <c r="A475" s="2" t="s">
        <v>86</v>
      </c>
      <c r="B475" s="2">
        <f>(116/2)/10000</f>
        <v>5.7999999999999996E-3</v>
      </c>
      <c r="C475" s="2">
        <v>0.97</v>
      </c>
      <c r="D475" s="2">
        <v>100</v>
      </c>
      <c r="E475" s="2"/>
      <c r="F475" s="6">
        <f t="shared" ref="F475:F476" si="15">+B475*C475*D475/360</f>
        <v>1.5627777777777775E-3</v>
      </c>
      <c r="G475" s="2"/>
    </row>
    <row r="476" spans="1:11" x14ac:dyDescent="0.3">
      <c r="A476" s="2" t="s">
        <v>87</v>
      </c>
      <c r="B476" s="2">
        <f>(90*0.5)/10000</f>
        <v>4.4999999999999997E-3</v>
      </c>
      <c r="C476" s="2">
        <v>0.97</v>
      </c>
      <c r="D476" s="2">
        <v>100</v>
      </c>
      <c r="E476" s="2"/>
      <c r="F476" s="6">
        <f t="shared" si="15"/>
        <v>1.2125E-3</v>
      </c>
      <c r="G476" s="6"/>
    </row>
    <row r="477" spans="1:11" x14ac:dyDescent="0.3">
      <c r="A477" s="11"/>
      <c r="B477" s="24"/>
      <c r="C477" s="24"/>
      <c r="D477" s="24"/>
      <c r="E477" s="24"/>
      <c r="F477" s="12"/>
      <c r="G477" s="11"/>
    </row>
    <row r="478" spans="1:11" x14ac:dyDescent="0.3">
      <c r="A478" s="11"/>
      <c r="B478" s="11"/>
      <c r="C478" s="11"/>
      <c r="D478" s="11"/>
      <c r="E478" s="11"/>
      <c r="F478" s="12"/>
      <c r="G478" s="12"/>
    </row>
    <row r="479" spans="1:11" x14ac:dyDescent="0.3">
      <c r="F479" s="2" t="s">
        <v>43</v>
      </c>
      <c r="G479" s="6">
        <f>+F475+F476</f>
        <v>2.7752777777777776E-3</v>
      </c>
    </row>
    <row r="481" spans="1:11" x14ac:dyDescent="0.3">
      <c r="A481" s="1" t="s">
        <v>33</v>
      </c>
      <c r="B481" s="1"/>
      <c r="C481" s="1"/>
    </row>
    <row r="482" spans="1:11" x14ac:dyDescent="0.3">
      <c r="A482" s="5" t="s">
        <v>34</v>
      </c>
      <c r="B482" s="14">
        <f>+G479</f>
        <v>2.7752777777777776E-3</v>
      </c>
      <c r="C482" t="s">
        <v>15</v>
      </c>
    </row>
    <row r="483" spans="1:11" x14ac:dyDescent="0.3">
      <c r="A483" s="5" t="s">
        <v>44</v>
      </c>
      <c r="B483" s="7">
        <v>1.2999999999999999E-2</v>
      </c>
    </row>
    <row r="484" spans="1:11" x14ac:dyDescent="0.3">
      <c r="A484" s="5" t="s">
        <v>35</v>
      </c>
      <c r="B484" s="7">
        <v>0</v>
      </c>
    </row>
    <row r="485" spans="1:11" x14ac:dyDescent="0.3">
      <c r="A485" s="5" t="s">
        <v>36</v>
      </c>
      <c r="B485" s="7">
        <v>0.2</v>
      </c>
      <c r="C485" t="s">
        <v>49</v>
      </c>
    </row>
    <row r="486" spans="1:11" x14ac:dyDescent="0.3">
      <c r="A486" s="5" t="s">
        <v>38</v>
      </c>
      <c r="B486" s="7">
        <v>0.01</v>
      </c>
      <c r="C486" t="s">
        <v>50</v>
      </c>
      <c r="H486" s="13"/>
    </row>
    <row r="487" spans="1:11" x14ac:dyDescent="0.3">
      <c r="A487" s="5" t="s">
        <v>48</v>
      </c>
      <c r="B487" s="7">
        <v>0.5</v>
      </c>
      <c r="C487" t="s">
        <v>49</v>
      </c>
      <c r="G487" s="13"/>
    </row>
    <row r="489" spans="1:11" x14ac:dyDescent="0.3">
      <c r="A489" s="8" t="s">
        <v>37</v>
      </c>
      <c r="B489" s="2" t="s">
        <v>38</v>
      </c>
      <c r="C489" s="5" t="s">
        <v>39</v>
      </c>
      <c r="D489" s="5" t="s">
        <v>40</v>
      </c>
      <c r="E489" s="5" t="s">
        <v>41</v>
      </c>
      <c r="F489" s="5" t="s">
        <v>34</v>
      </c>
      <c r="G489" s="17" t="s">
        <v>45</v>
      </c>
      <c r="H489" s="8" t="s">
        <v>60</v>
      </c>
      <c r="I489" s="17" t="s">
        <v>46</v>
      </c>
      <c r="J489" s="8" t="s">
        <v>101</v>
      </c>
      <c r="K489" s="8" t="s">
        <v>96</v>
      </c>
    </row>
    <row r="490" spans="1:11" x14ac:dyDescent="0.3">
      <c r="A490" s="9">
        <v>2.421799179125423E-2</v>
      </c>
      <c r="B490" s="4">
        <f>+B486</f>
        <v>0.01</v>
      </c>
      <c r="C490" s="2">
        <f>+A490*B485</f>
        <v>4.8435983582508467E-3</v>
      </c>
      <c r="D490" s="2">
        <f>+B485+2*A490</f>
        <v>0.24843598358250846</v>
      </c>
      <c r="E490" s="2">
        <f>C490/D490</f>
        <v>1.9496363966302135E-2</v>
      </c>
      <c r="F490" s="2">
        <f>C490*(E490^(2/3))*(B490^(1/2))/B483</f>
        <v>2.6989438759387812E-3</v>
      </c>
      <c r="G490" s="31">
        <f>ROUND(A490,2)</f>
        <v>0.02</v>
      </c>
      <c r="H490" s="20">
        <f>+ROUND(G490,4)*100</f>
        <v>2</v>
      </c>
      <c r="I490" s="2">
        <f>4/5*B487</f>
        <v>0.4</v>
      </c>
      <c r="J490" s="9">
        <f>+(B487-G490)*100</f>
        <v>48</v>
      </c>
      <c r="K490" s="20">
        <f>+B482/C490</f>
        <v>0.5729785115337277</v>
      </c>
    </row>
    <row r="492" spans="1:11" x14ac:dyDescent="0.3">
      <c r="F492" s="1" t="s">
        <v>47</v>
      </c>
      <c r="G492" s="1"/>
      <c r="H492" s="1"/>
      <c r="I492" s="1" t="str">
        <f>IF(G490&lt;I490,"CUMPLE","NO CUMPLE")</f>
        <v>CUMPLE</v>
      </c>
    </row>
    <row r="493" spans="1:11" x14ac:dyDescent="0.3">
      <c r="F493" s="1" t="s">
        <v>97</v>
      </c>
      <c r="G493" s="1"/>
      <c r="I493" s="1" t="str">
        <f>+IF(K490&lt;3,"CUMPLE","Verificar Ancho")</f>
        <v>CUMPLE</v>
      </c>
    </row>
    <row r="494" spans="1:11" x14ac:dyDescent="0.3">
      <c r="F494" s="1"/>
      <c r="G494" s="1"/>
      <c r="I494" s="1"/>
    </row>
    <row r="496" spans="1:11" ht="18" x14ac:dyDescent="0.35">
      <c r="A496" s="26" t="s">
        <v>181</v>
      </c>
    </row>
    <row r="497" spans="1:7" x14ac:dyDescent="0.3">
      <c r="B497" s="2" t="s">
        <v>20</v>
      </c>
      <c r="C497" s="2" t="s">
        <v>13</v>
      </c>
      <c r="D497" s="2" t="s">
        <v>17</v>
      </c>
      <c r="E497" s="2" t="s">
        <v>22</v>
      </c>
      <c r="F497" s="2" t="s">
        <v>18</v>
      </c>
      <c r="G497" s="2" t="s">
        <v>19</v>
      </c>
    </row>
    <row r="498" spans="1:7" x14ac:dyDescent="0.3">
      <c r="A498" s="2" t="s">
        <v>54</v>
      </c>
      <c r="B498" s="47"/>
      <c r="C498" s="48"/>
      <c r="D498" s="48"/>
      <c r="E498" s="49"/>
      <c r="F498" s="6">
        <f>+B482</f>
        <v>2.7752777777777776E-3</v>
      </c>
      <c r="G498" s="2"/>
    </row>
    <row r="499" spans="1:7" x14ac:dyDescent="0.3">
      <c r="A499" s="11"/>
      <c r="B499" s="11"/>
      <c r="C499" s="11"/>
      <c r="D499" s="11"/>
      <c r="E499" s="11"/>
      <c r="F499" s="12"/>
      <c r="G499" s="12"/>
    </row>
    <row r="500" spans="1:7" x14ac:dyDescent="0.3">
      <c r="F500" s="2" t="s">
        <v>43</v>
      </c>
      <c r="G500" s="6">
        <f>+F498</f>
        <v>2.7752777777777776E-3</v>
      </c>
    </row>
    <row r="501" spans="1:7" x14ac:dyDescent="0.3">
      <c r="A501" s="1" t="s">
        <v>71</v>
      </c>
      <c r="B501" s="1"/>
      <c r="C501" s="1"/>
    </row>
    <row r="502" spans="1:7" x14ac:dyDescent="0.3">
      <c r="A502" s="5" t="s">
        <v>66</v>
      </c>
      <c r="B502" s="14">
        <f>+G500</f>
        <v>2.7752777777777776E-3</v>
      </c>
      <c r="C502" t="s">
        <v>15</v>
      </c>
    </row>
    <row r="503" spans="1:7" x14ac:dyDescent="0.3">
      <c r="A503" s="5" t="s">
        <v>56</v>
      </c>
      <c r="B503" s="7">
        <v>0.01</v>
      </c>
      <c r="D503" s="1"/>
      <c r="E503" s="1"/>
    </row>
    <row r="504" spans="1:7" ht="18" x14ac:dyDescent="0.35">
      <c r="A504" s="21" t="s">
        <v>68</v>
      </c>
      <c r="B504" s="15">
        <f>300*PI()/180</f>
        <v>5.2359877559829888</v>
      </c>
      <c r="C504" t="s">
        <v>58</v>
      </c>
    </row>
    <row r="505" spans="1:7" x14ac:dyDescent="0.3">
      <c r="A505" s="5" t="s">
        <v>38</v>
      </c>
      <c r="B505" s="7">
        <v>2.98E-2</v>
      </c>
      <c r="C505" t="s">
        <v>50</v>
      </c>
    </row>
    <row r="506" spans="1:7" x14ac:dyDescent="0.3">
      <c r="A506" s="23" t="s">
        <v>57</v>
      </c>
      <c r="B506" s="22">
        <v>4</v>
      </c>
      <c r="C506" t="s">
        <v>65</v>
      </c>
      <c r="G506" s="13"/>
    </row>
    <row r="508" spans="1:7" x14ac:dyDescent="0.3">
      <c r="A508" s="8" t="s">
        <v>57</v>
      </c>
      <c r="B508" s="2" t="s">
        <v>38</v>
      </c>
      <c r="C508" s="5" t="s">
        <v>39</v>
      </c>
      <c r="D508" s="5" t="s">
        <v>40</v>
      </c>
      <c r="E508" s="5" t="s">
        <v>41</v>
      </c>
      <c r="F508" s="8" t="s">
        <v>99</v>
      </c>
      <c r="G508" s="8" t="s">
        <v>96</v>
      </c>
    </row>
    <row r="509" spans="1:7" x14ac:dyDescent="0.3">
      <c r="A509" s="9">
        <f>+B506*0.0254</f>
        <v>0.1016</v>
      </c>
      <c r="B509" s="2">
        <f>+B505</f>
        <v>2.98E-2</v>
      </c>
      <c r="C509" s="4">
        <f>+((B504-SIN(B504))*(A509)^2)/8</f>
        <v>7.8735496203111068E-3</v>
      </c>
      <c r="D509" s="2">
        <f>+B504*A509/2</f>
        <v>0.26598817800393582</v>
      </c>
      <c r="E509" s="2">
        <f>(1-SIN(B504)/B504)*(A509)/4</f>
        <v>2.9601126183114054E-2</v>
      </c>
      <c r="F509" s="9">
        <f>C509*(E509^(2/3))*(B509^(1/2))/B503</f>
        <v>1.3006212848276084E-2</v>
      </c>
      <c r="G509" s="20">
        <f>+B502/C509</f>
        <v>0.35248114403426067</v>
      </c>
    </row>
    <row r="511" spans="1:7" x14ac:dyDescent="0.3">
      <c r="C511" s="1" t="s">
        <v>100</v>
      </c>
      <c r="D511" s="1"/>
      <c r="F511" s="1" t="str">
        <f>+IF(B502&lt;F509,"CUMPLE","NO CUMPLE")</f>
        <v>CUMPLE</v>
      </c>
      <c r="G511" s="1"/>
    </row>
    <row r="512" spans="1:7" x14ac:dyDescent="0.3">
      <c r="C512" s="1" t="s">
        <v>98</v>
      </c>
      <c r="D512" s="1"/>
      <c r="F512" s="1" t="str">
        <f>+IF(G509&lt;5,"CUMPLE","Verificar Diametro")</f>
        <v>CUMPLE</v>
      </c>
    </row>
    <row r="513" spans="1:7" x14ac:dyDescent="0.3">
      <c r="C513" s="1" t="s">
        <v>69</v>
      </c>
      <c r="D513" s="1"/>
    </row>
    <row r="514" spans="1:7" x14ac:dyDescent="0.3">
      <c r="D514" s="27" t="s">
        <v>59</v>
      </c>
      <c r="E514" s="27">
        <f>IF(B502&lt;F509,A509/0.0254,"Modificar Diametro")</f>
        <v>4</v>
      </c>
      <c r="F514" s="27" t="s">
        <v>65</v>
      </c>
    </row>
    <row r="517" spans="1:7" ht="18" x14ac:dyDescent="0.35">
      <c r="A517" s="37" t="s">
        <v>182</v>
      </c>
      <c r="B517" s="28"/>
      <c r="C517" s="28"/>
      <c r="D517" s="28"/>
    </row>
    <row r="518" spans="1:7" x14ac:dyDescent="0.3">
      <c r="B518" s="2" t="s">
        <v>20</v>
      </c>
      <c r="C518" s="2" t="s">
        <v>13</v>
      </c>
      <c r="D518" s="2" t="s">
        <v>17</v>
      </c>
      <c r="E518" s="2" t="s">
        <v>22</v>
      </c>
      <c r="F518" s="2" t="s">
        <v>18</v>
      </c>
      <c r="G518" s="2" t="s">
        <v>19</v>
      </c>
    </row>
    <row r="519" spans="1:7" x14ac:dyDescent="0.3">
      <c r="A519" s="2" t="s">
        <v>54</v>
      </c>
      <c r="B519" s="47"/>
      <c r="C519" s="48"/>
      <c r="D519" s="48"/>
      <c r="E519" s="49"/>
      <c r="F519" s="6">
        <f>+B502</f>
        <v>2.7752777777777776E-3</v>
      </c>
      <c r="G519" s="2"/>
    </row>
    <row r="520" spans="1:7" x14ac:dyDescent="0.3">
      <c r="A520" s="7" t="s">
        <v>12</v>
      </c>
      <c r="B520" s="2">
        <f>+$B$5/10000</f>
        <v>7.6269999999999992E-3</v>
      </c>
      <c r="C520" s="2">
        <v>0.97</v>
      </c>
      <c r="D520" s="2">
        <v>100</v>
      </c>
      <c r="E520" s="2"/>
      <c r="F520" s="6">
        <f>+B520*C520*D520/360</f>
        <v>2.0550527777777774E-3</v>
      </c>
      <c r="G520" s="6"/>
    </row>
    <row r="521" spans="1:7" x14ac:dyDescent="0.3">
      <c r="A521" s="7" t="s">
        <v>32</v>
      </c>
      <c r="B521" s="2">
        <f>+$B$15/10000</f>
        <v>1.4775E-2</v>
      </c>
      <c r="C521" s="2">
        <v>0.97</v>
      </c>
      <c r="D521" s="2">
        <v>100</v>
      </c>
      <c r="E521" s="2"/>
      <c r="F521" s="6">
        <f t="shared" ref="F521:F522" si="16">+B521*C521*D521/360</f>
        <v>3.9810416666666666E-3</v>
      </c>
      <c r="G521" s="6"/>
    </row>
    <row r="522" spans="1:7" x14ac:dyDescent="0.3">
      <c r="A522" s="2" t="s">
        <v>130</v>
      </c>
      <c r="B522" s="2">
        <f>26/10000</f>
        <v>2.5999999999999999E-3</v>
      </c>
      <c r="C522" s="2">
        <v>0.97</v>
      </c>
      <c r="D522" s="2">
        <v>100</v>
      </c>
      <c r="E522" s="2"/>
      <c r="F522" s="6">
        <f t="shared" si="16"/>
        <v>7.005555555555555E-4</v>
      </c>
      <c r="G522" s="6"/>
    </row>
    <row r="523" spans="1:7" x14ac:dyDescent="0.3">
      <c r="A523" s="11"/>
      <c r="B523" s="11"/>
      <c r="C523" s="11"/>
      <c r="D523" s="11"/>
      <c r="E523" s="11"/>
      <c r="F523" s="12"/>
      <c r="G523" s="12"/>
    </row>
    <row r="524" spans="1:7" x14ac:dyDescent="0.3">
      <c r="F524" s="2" t="s">
        <v>43</v>
      </c>
      <c r="G524" s="6">
        <f>+F519+F520+F521+F522</f>
        <v>9.5119277777777761E-3</v>
      </c>
    </row>
    <row r="525" spans="1:7" x14ac:dyDescent="0.3">
      <c r="A525" s="1" t="s">
        <v>71</v>
      </c>
      <c r="B525" s="1"/>
      <c r="C525" s="1"/>
    </row>
    <row r="526" spans="1:7" x14ac:dyDescent="0.3">
      <c r="A526" s="5" t="s">
        <v>66</v>
      </c>
      <c r="B526" s="14">
        <f>+G524</f>
        <v>9.5119277777777761E-3</v>
      </c>
      <c r="C526" t="s">
        <v>15</v>
      </c>
    </row>
    <row r="527" spans="1:7" x14ac:dyDescent="0.3">
      <c r="A527" s="5" t="s">
        <v>56</v>
      </c>
      <c r="B527" s="7">
        <v>0.01</v>
      </c>
      <c r="D527" s="1"/>
      <c r="E527" s="1"/>
    </row>
    <row r="528" spans="1:7" ht="18" x14ac:dyDescent="0.35">
      <c r="A528" s="21" t="s">
        <v>68</v>
      </c>
      <c r="B528" s="15">
        <f>300*PI()/180</f>
        <v>5.2359877559829888</v>
      </c>
      <c r="C528" t="s">
        <v>58</v>
      </c>
    </row>
    <row r="529" spans="1:7" x14ac:dyDescent="0.3">
      <c r="A529" s="5" t="s">
        <v>38</v>
      </c>
      <c r="B529" s="7">
        <v>2.3199999999999998E-2</v>
      </c>
      <c r="C529" t="s">
        <v>50</v>
      </c>
    </row>
    <row r="530" spans="1:7" x14ac:dyDescent="0.3">
      <c r="A530" s="23" t="s">
        <v>57</v>
      </c>
      <c r="B530" s="22">
        <v>4</v>
      </c>
      <c r="C530" t="s">
        <v>65</v>
      </c>
      <c r="G530" s="13"/>
    </row>
    <row r="532" spans="1:7" x14ac:dyDescent="0.3">
      <c r="A532" s="8" t="s">
        <v>57</v>
      </c>
      <c r="B532" s="2" t="s">
        <v>38</v>
      </c>
      <c r="C532" s="5" t="s">
        <v>39</v>
      </c>
      <c r="D532" s="5" t="s">
        <v>40</v>
      </c>
      <c r="E532" s="5" t="s">
        <v>41</v>
      </c>
      <c r="F532" s="8" t="s">
        <v>99</v>
      </c>
      <c r="G532" s="8" t="s">
        <v>96</v>
      </c>
    </row>
    <row r="533" spans="1:7" x14ac:dyDescent="0.3">
      <c r="A533" s="9">
        <f>+B530*0.0254</f>
        <v>0.1016</v>
      </c>
      <c r="B533" s="2">
        <f>+B529</f>
        <v>2.3199999999999998E-2</v>
      </c>
      <c r="C533" s="4">
        <f>+((B528-SIN(B528))*(A533)^2)/8</f>
        <v>7.8735496203111068E-3</v>
      </c>
      <c r="D533" s="2">
        <f>+B528*A533/2</f>
        <v>0.26598817800393582</v>
      </c>
      <c r="E533" s="2">
        <f>(1-SIN(B528)/B528)*(A533)/4</f>
        <v>2.9601126183114054E-2</v>
      </c>
      <c r="F533" s="9">
        <f>C533*(E533^(2/3))*(B533^(1/2))/B527</f>
        <v>1.1475899002067021E-2</v>
      </c>
      <c r="G533" s="20">
        <f>+B526/C533</f>
        <v>1.20808634433956</v>
      </c>
    </row>
    <row r="535" spans="1:7" x14ac:dyDescent="0.3">
      <c r="C535" s="1" t="s">
        <v>100</v>
      </c>
      <c r="D535" s="1"/>
      <c r="F535" s="1" t="str">
        <f>+IF(B526&lt;F533,"CUMPLE","NO CUMPLE")</f>
        <v>CUMPLE</v>
      </c>
      <c r="G535" s="1"/>
    </row>
    <row r="536" spans="1:7" x14ac:dyDescent="0.3">
      <c r="C536" s="1" t="s">
        <v>98</v>
      </c>
      <c r="D536" s="1"/>
      <c r="F536" s="1" t="str">
        <f>+IF(G533&lt;5,"CUMPLE","Verificar Diametro")</f>
        <v>CUMPLE</v>
      </c>
    </row>
    <row r="537" spans="1:7" x14ac:dyDescent="0.3">
      <c r="C537" s="1" t="s">
        <v>69</v>
      </c>
      <c r="D537" s="1"/>
    </row>
    <row r="538" spans="1:7" x14ac:dyDescent="0.3">
      <c r="D538" s="27" t="s">
        <v>59</v>
      </c>
      <c r="E538" s="27">
        <f>IF(B526&lt;F533,A533/0.0254,"Modificar Diametro")</f>
        <v>4</v>
      </c>
      <c r="F538" s="27" t="s">
        <v>65</v>
      </c>
    </row>
    <row r="541" spans="1:7" ht="18" x14ac:dyDescent="0.35">
      <c r="A541" s="37" t="s">
        <v>183</v>
      </c>
      <c r="B541" s="28"/>
      <c r="C541" s="28"/>
      <c r="D541" s="28"/>
    </row>
    <row r="542" spans="1:7" x14ac:dyDescent="0.3">
      <c r="B542" s="2" t="s">
        <v>20</v>
      </c>
      <c r="C542" s="2" t="s">
        <v>13</v>
      </c>
      <c r="D542" s="2" t="s">
        <v>17</v>
      </c>
      <c r="E542" s="2" t="s">
        <v>22</v>
      </c>
      <c r="F542" s="2" t="s">
        <v>18</v>
      </c>
      <c r="G542" s="2" t="s">
        <v>19</v>
      </c>
    </row>
    <row r="543" spans="1:7" x14ac:dyDescent="0.3">
      <c r="A543" s="2" t="s">
        <v>54</v>
      </c>
      <c r="B543" s="47"/>
      <c r="C543" s="48"/>
      <c r="D543" s="48"/>
      <c r="E543" s="49"/>
      <c r="F543" s="6">
        <f>+B459+B526</f>
        <v>0.10914377129629629</v>
      </c>
      <c r="G543" s="2"/>
    </row>
    <row r="544" spans="1:7" x14ac:dyDescent="0.3">
      <c r="A544" s="2" t="s">
        <v>132</v>
      </c>
      <c r="B544" s="2">
        <f>(66+22)/10000</f>
        <v>8.8000000000000005E-3</v>
      </c>
      <c r="C544" s="2">
        <v>0.97</v>
      </c>
      <c r="D544" s="2">
        <v>100</v>
      </c>
      <c r="E544" s="2"/>
      <c r="F544" s="6">
        <f t="shared" ref="F544" si="17">+B544*C544*D544/360</f>
        <v>2.3711111111111112E-3</v>
      </c>
      <c r="G544" s="6"/>
    </row>
    <row r="545" spans="1:7" x14ac:dyDescent="0.3">
      <c r="A545" s="11"/>
      <c r="B545" s="11"/>
      <c r="C545" s="11"/>
      <c r="D545" s="11"/>
      <c r="E545" s="11"/>
      <c r="F545" s="12"/>
      <c r="G545" s="12"/>
    </row>
    <row r="546" spans="1:7" x14ac:dyDescent="0.3">
      <c r="F546" s="2" t="s">
        <v>43</v>
      </c>
      <c r="G546" s="6">
        <f>+F543+F544</f>
        <v>0.11151488240740741</v>
      </c>
    </row>
    <row r="547" spans="1:7" x14ac:dyDescent="0.3">
      <c r="A547" s="1" t="s">
        <v>71</v>
      </c>
      <c r="B547" s="1"/>
      <c r="C547" s="1"/>
    </row>
    <row r="548" spans="1:7" x14ac:dyDescent="0.3">
      <c r="A548" s="5" t="s">
        <v>66</v>
      </c>
      <c r="B548" s="14">
        <f>+G546</f>
        <v>0.11151488240740741</v>
      </c>
      <c r="C548" t="s">
        <v>15</v>
      </c>
    </row>
    <row r="549" spans="1:7" x14ac:dyDescent="0.3">
      <c r="A549" s="5" t="s">
        <v>56</v>
      </c>
      <c r="B549" s="7">
        <v>0.01</v>
      </c>
      <c r="D549" s="1"/>
      <c r="E549" s="1"/>
    </row>
    <row r="550" spans="1:7" ht="18" x14ac:dyDescent="0.35">
      <c r="A550" s="21" t="s">
        <v>68</v>
      </c>
      <c r="B550" s="15">
        <f>180*PI()/180</f>
        <v>3.1415926535897931</v>
      </c>
      <c r="C550" t="s">
        <v>58</v>
      </c>
    </row>
    <row r="551" spans="1:7" x14ac:dyDescent="0.3">
      <c r="A551" s="5" t="s">
        <v>38</v>
      </c>
      <c r="B551" s="7">
        <v>0.01</v>
      </c>
      <c r="C551" t="s">
        <v>50</v>
      </c>
    </row>
    <row r="552" spans="1:7" x14ac:dyDescent="0.3">
      <c r="A552" s="23" t="s">
        <v>57</v>
      </c>
      <c r="B552" s="22">
        <v>16</v>
      </c>
      <c r="C552" t="s">
        <v>65</v>
      </c>
      <c r="G552" s="13"/>
    </row>
    <row r="554" spans="1:7" x14ac:dyDescent="0.3">
      <c r="A554" s="8" t="s">
        <v>57</v>
      </c>
      <c r="B554" s="2" t="s">
        <v>38</v>
      </c>
      <c r="C554" s="5" t="s">
        <v>39</v>
      </c>
      <c r="D554" s="5" t="s">
        <v>40</v>
      </c>
      <c r="E554" s="5" t="s">
        <v>41</v>
      </c>
      <c r="F554" s="8" t="s">
        <v>99</v>
      </c>
      <c r="G554" s="8" t="s">
        <v>96</v>
      </c>
    </row>
    <row r="555" spans="1:7" x14ac:dyDescent="0.3">
      <c r="A555" s="9">
        <f>+B552*0.0254</f>
        <v>0.40639999999999998</v>
      </c>
      <c r="B555" s="2">
        <f>+B551</f>
        <v>0.01</v>
      </c>
      <c r="C555" s="4">
        <f>+((B550-SIN(B550))*(A555)^2)/8</f>
        <v>6.4858557324479704E-2</v>
      </c>
      <c r="D555" s="2">
        <f>+B550*A555/2</f>
        <v>0.63837162720944596</v>
      </c>
      <c r="E555" s="2">
        <f>(1-SIN(B550)/B550)*(A555)/4</f>
        <v>0.1016</v>
      </c>
      <c r="F555" s="9">
        <f>C555*(E555^(2/3))*(B555^(1/2))/B549</f>
        <v>0.1412200701482251</v>
      </c>
      <c r="G555" s="20">
        <f>+B548/C555</f>
        <v>1.719354962669176</v>
      </c>
    </row>
    <row r="557" spans="1:7" x14ac:dyDescent="0.3">
      <c r="C557" s="1" t="s">
        <v>100</v>
      </c>
      <c r="D557" s="1"/>
      <c r="F557" s="1" t="str">
        <f>+IF(B548&lt;F555,"CUMPLE","NO CUMPLE")</f>
        <v>CUMPLE</v>
      </c>
      <c r="G557" s="1"/>
    </row>
    <row r="558" spans="1:7" x14ac:dyDescent="0.3">
      <c r="C558" s="1" t="s">
        <v>98</v>
      </c>
      <c r="D558" s="1"/>
      <c r="F558" s="1" t="str">
        <f>+IF(G555&lt;5,"CUMPLE","Verificar Diametro")</f>
        <v>CUMPLE</v>
      </c>
    </row>
    <row r="559" spans="1:7" x14ac:dyDescent="0.3">
      <c r="C559" s="1" t="s">
        <v>69</v>
      </c>
      <c r="D559" s="1"/>
    </row>
    <row r="560" spans="1:7" x14ac:dyDescent="0.3">
      <c r="D560" s="27" t="s">
        <v>59</v>
      </c>
      <c r="E560" s="27">
        <f>IF(B548&lt;F555,A555/0.0254,"Modificar Diametro")</f>
        <v>16</v>
      </c>
      <c r="F560" s="27" t="s">
        <v>65</v>
      </c>
    </row>
    <row r="563" spans="1:7" ht="18" x14ac:dyDescent="0.35">
      <c r="A563" s="26" t="s">
        <v>184</v>
      </c>
      <c r="B563" s="28"/>
      <c r="C563" s="28"/>
      <c r="D563" s="28"/>
    </row>
    <row r="564" spans="1:7" x14ac:dyDescent="0.3">
      <c r="B564" s="2" t="s">
        <v>20</v>
      </c>
      <c r="C564" s="2" t="s">
        <v>13</v>
      </c>
      <c r="D564" s="2" t="s">
        <v>17</v>
      </c>
      <c r="E564" s="2" t="s">
        <v>22</v>
      </c>
      <c r="F564" s="2" t="s">
        <v>18</v>
      </c>
      <c r="G564" s="2" t="s">
        <v>19</v>
      </c>
    </row>
    <row r="565" spans="1:7" x14ac:dyDescent="0.3">
      <c r="A565" s="2" t="s">
        <v>131</v>
      </c>
      <c r="B565" s="2">
        <f>20/10000</f>
        <v>2E-3</v>
      </c>
      <c r="C565" s="2">
        <v>0.97</v>
      </c>
      <c r="D565" s="2">
        <v>100</v>
      </c>
      <c r="E565" s="2"/>
      <c r="F565" s="6">
        <f t="shared" ref="F565:F566" si="18">+B565*C565*D565/360</f>
        <v>5.3888888888888888E-4</v>
      </c>
      <c r="G565" s="6"/>
    </row>
    <row r="566" spans="1:7" x14ac:dyDescent="0.3">
      <c r="A566" s="7" t="s">
        <v>23</v>
      </c>
      <c r="B566" s="2">
        <f>+$B$7/10000</f>
        <v>4.7840000000000001E-3</v>
      </c>
      <c r="C566" s="2">
        <v>0.97</v>
      </c>
      <c r="D566" s="2">
        <v>100</v>
      </c>
      <c r="E566" s="2">
        <v>7</v>
      </c>
      <c r="F566" s="6">
        <f t="shared" si="18"/>
        <v>1.2890222222222221E-3</v>
      </c>
      <c r="G566" s="6">
        <f>+F566/E566</f>
        <v>1.8414603174603172E-4</v>
      </c>
    </row>
    <row r="567" spans="1:7" s="34" customFormat="1" x14ac:dyDescent="0.3">
      <c r="A567" s="11"/>
      <c r="B567" s="11"/>
      <c r="C567" s="11"/>
      <c r="D567" s="11"/>
      <c r="E567" s="11"/>
      <c r="F567" s="12"/>
      <c r="G567" s="12"/>
    </row>
    <row r="568" spans="1:7" x14ac:dyDescent="0.3">
      <c r="A568" s="34"/>
      <c r="B568" s="34"/>
      <c r="C568" s="34"/>
      <c r="D568" s="34"/>
      <c r="E568" s="34"/>
      <c r="F568" s="4" t="s">
        <v>43</v>
      </c>
      <c r="G568" s="43">
        <f>+F565+G566*2</f>
        <v>9.0718095238095237E-4</v>
      </c>
    </row>
    <row r="569" spans="1:7" x14ac:dyDescent="0.3">
      <c r="A569" s="1" t="s">
        <v>71</v>
      </c>
      <c r="B569" s="1"/>
      <c r="C569" s="1"/>
    </row>
    <row r="570" spans="1:7" x14ac:dyDescent="0.3">
      <c r="A570" s="5" t="s">
        <v>66</v>
      </c>
      <c r="B570" s="14">
        <f>+G568</f>
        <v>9.0718095238095237E-4</v>
      </c>
      <c r="C570" t="s">
        <v>15</v>
      </c>
    </row>
    <row r="571" spans="1:7" x14ac:dyDescent="0.3">
      <c r="A571" s="5" t="s">
        <v>56</v>
      </c>
      <c r="B571" s="7">
        <v>0.01</v>
      </c>
      <c r="D571" s="1"/>
      <c r="E571" s="1"/>
    </row>
    <row r="572" spans="1:7" ht="18" x14ac:dyDescent="0.35">
      <c r="A572" s="21" t="s">
        <v>68</v>
      </c>
      <c r="B572" s="15">
        <f>300*PI()/180</f>
        <v>5.2359877559829888</v>
      </c>
      <c r="C572" t="s">
        <v>58</v>
      </c>
    </row>
    <row r="573" spans="1:7" x14ac:dyDescent="0.3">
      <c r="A573" s="5" t="s">
        <v>38</v>
      </c>
      <c r="B573" s="7">
        <v>5.0000000000000001E-3</v>
      </c>
      <c r="C573" t="s">
        <v>50</v>
      </c>
    </row>
    <row r="574" spans="1:7" x14ac:dyDescent="0.3">
      <c r="A574" s="23" t="s">
        <v>57</v>
      </c>
      <c r="B574" s="22">
        <v>4</v>
      </c>
      <c r="C574" t="s">
        <v>65</v>
      </c>
      <c r="G574" s="13"/>
    </row>
    <row r="576" spans="1:7" x14ac:dyDescent="0.3">
      <c r="A576" s="8" t="s">
        <v>57</v>
      </c>
      <c r="B576" s="2" t="s">
        <v>38</v>
      </c>
      <c r="C576" s="5" t="s">
        <v>39</v>
      </c>
      <c r="D576" s="5" t="s">
        <v>40</v>
      </c>
      <c r="E576" s="5" t="s">
        <v>41</v>
      </c>
      <c r="F576" s="8" t="s">
        <v>99</v>
      </c>
      <c r="G576" s="8" t="s">
        <v>96</v>
      </c>
    </row>
    <row r="577" spans="1:8" x14ac:dyDescent="0.3">
      <c r="A577" s="9">
        <f>+B574*0.0254</f>
        <v>0.1016</v>
      </c>
      <c r="B577" s="2">
        <f>+B573</f>
        <v>5.0000000000000001E-3</v>
      </c>
      <c r="C577" s="4">
        <f>+((B572-SIN(B572))*(A577)^2)/8</f>
        <v>7.8735496203111068E-3</v>
      </c>
      <c r="D577" s="2">
        <f>+B572*A577/2</f>
        <v>0.26598817800393582</v>
      </c>
      <c r="E577" s="2">
        <f>(1-SIN(B572)/B572)*(A577)/4</f>
        <v>2.9601126183114054E-2</v>
      </c>
      <c r="F577" s="9">
        <f>C577*(E577^(2/3))*(B577^(1/2))/B571</f>
        <v>5.327552365186318E-3</v>
      </c>
      <c r="G577" s="20">
        <f>+B570/C577</f>
        <v>0.11521880170040855</v>
      </c>
    </row>
    <row r="579" spans="1:8" x14ac:dyDescent="0.3">
      <c r="C579" s="1" t="s">
        <v>100</v>
      </c>
      <c r="D579" s="1"/>
      <c r="F579" s="1" t="str">
        <f>+IF(B570&lt;F577,"CUMPLE","NO CUMPLE")</f>
        <v>CUMPLE</v>
      </c>
      <c r="G579" s="1"/>
    </row>
    <row r="580" spans="1:8" x14ac:dyDescent="0.3">
      <c r="C580" s="1" t="s">
        <v>98</v>
      </c>
      <c r="D580" s="1"/>
      <c r="F580" s="1" t="str">
        <f>+IF(G577&lt;5,"CUMPLE","Verificar Diametro")</f>
        <v>CUMPLE</v>
      </c>
      <c r="H580" s="34"/>
    </row>
    <row r="581" spans="1:8" x14ac:dyDescent="0.3">
      <c r="C581" s="1" t="s">
        <v>69</v>
      </c>
      <c r="D581" s="1"/>
    </row>
    <row r="582" spans="1:8" x14ac:dyDescent="0.3">
      <c r="D582" s="27" t="s">
        <v>59</v>
      </c>
      <c r="E582" s="27">
        <f>IF(B570&lt;F577,A577/0.0254,"Modificar Diametro")</f>
        <v>4</v>
      </c>
      <c r="F582" s="27" t="s">
        <v>65</v>
      </c>
    </row>
    <row r="583" spans="1:8" s="34" customFormat="1" x14ac:dyDescent="0.3">
      <c r="A583"/>
      <c r="B583"/>
      <c r="C583"/>
      <c r="D583"/>
      <c r="E583"/>
      <c r="F583"/>
      <c r="G583"/>
    </row>
    <row r="584" spans="1:8" x14ac:dyDescent="0.3">
      <c r="A584" s="34"/>
      <c r="B584" s="34"/>
      <c r="C584" s="34"/>
      <c r="D584" s="34"/>
      <c r="E584" s="34"/>
      <c r="F584" s="34"/>
      <c r="G584" s="34"/>
    </row>
    <row r="585" spans="1:8" ht="18" x14ac:dyDescent="0.35">
      <c r="A585" s="26" t="s">
        <v>185</v>
      </c>
      <c r="B585" s="28"/>
    </row>
    <row r="586" spans="1:8" x14ac:dyDescent="0.3">
      <c r="B586" s="2" t="s">
        <v>20</v>
      </c>
      <c r="C586" s="2" t="s">
        <v>13</v>
      </c>
      <c r="D586" s="2" t="s">
        <v>17</v>
      </c>
      <c r="E586" s="2" t="s">
        <v>22</v>
      </c>
      <c r="F586" s="2" t="s">
        <v>18</v>
      </c>
      <c r="G586" s="2" t="s">
        <v>19</v>
      </c>
    </row>
    <row r="587" spans="1:8" x14ac:dyDescent="0.3">
      <c r="A587" s="2" t="s">
        <v>54</v>
      </c>
      <c r="B587" s="47"/>
      <c r="C587" s="48"/>
      <c r="D587" s="48"/>
      <c r="E587" s="49"/>
      <c r="F587" s="6">
        <f>+B570</f>
        <v>9.0718095238095237E-4</v>
      </c>
      <c r="G587" s="2"/>
    </row>
    <row r="588" spans="1:8" x14ac:dyDescent="0.3">
      <c r="A588" s="7" t="s">
        <v>23</v>
      </c>
      <c r="B588" s="2">
        <f>+$B$6/10000</f>
        <v>3.3408E-2</v>
      </c>
      <c r="C588" s="2">
        <v>0.97</v>
      </c>
      <c r="D588" s="2">
        <v>100</v>
      </c>
      <c r="E588" s="2">
        <v>7</v>
      </c>
      <c r="F588" s="6">
        <f t="shared" ref="F588:F589" si="19">+B588*C588*D588/360</f>
        <v>9.0016000000000002E-3</v>
      </c>
      <c r="G588" s="6">
        <f>+F588/E588</f>
        <v>1.2859428571428571E-3</v>
      </c>
    </row>
    <row r="589" spans="1:8" x14ac:dyDescent="0.3">
      <c r="A589" s="2" t="s">
        <v>88</v>
      </c>
      <c r="B589" s="2">
        <f>(48+110)/10000</f>
        <v>1.5800000000000002E-2</v>
      </c>
      <c r="C589" s="2">
        <v>0.97</v>
      </c>
      <c r="D589" s="2">
        <v>100</v>
      </c>
      <c r="E589" s="2"/>
      <c r="F589" s="6">
        <f t="shared" si="19"/>
        <v>4.257222222222223E-3</v>
      </c>
      <c r="G589" s="2"/>
    </row>
    <row r="590" spans="1:8" x14ac:dyDescent="0.3">
      <c r="A590" s="11"/>
      <c r="B590" s="11"/>
      <c r="C590" s="11"/>
      <c r="D590" s="11"/>
      <c r="E590" s="11"/>
      <c r="F590" s="12"/>
      <c r="G590" s="12"/>
    </row>
    <row r="591" spans="1:8" ht="17.25" customHeight="1" x14ac:dyDescent="0.3">
      <c r="F591" s="2" t="s">
        <v>43</v>
      </c>
      <c r="G591" s="6">
        <f>+F587+G588*5+F589</f>
        <v>1.1594117460317461E-2</v>
      </c>
    </row>
    <row r="592" spans="1:8" x14ac:dyDescent="0.3">
      <c r="F592" s="11"/>
      <c r="G592" s="12"/>
    </row>
    <row r="593" spans="1:11" x14ac:dyDescent="0.3">
      <c r="A593" s="1" t="s">
        <v>33</v>
      </c>
      <c r="B593" s="1"/>
      <c r="C593" s="1"/>
    </row>
    <row r="594" spans="1:11" x14ac:dyDescent="0.3">
      <c r="A594" s="5" t="s">
        <v>34</v>
      </c>
      <c r="B594" s="14">
        <f>+G591</f>
        <v>1.1594117460317461E-2</v>
      </c>
      <c r="C594" t="s">
        <v>15</v>
      </c>
    </row>
    <row r="595" spans="1:11" x14ac:dyDescent="0.3">
      <c r="A595" s="5" t="s">
        <v>44</v>
      </c>
      <c r="B595" s="7">
        <v>1.2999999999999999E-2</v>
      </c>
    </row>
    <row r="596" spans="1:11" x14ac:dyDescent="0.3">
      <c r="A596" s="5" t="s">
        <v>35</v>
      </c>
      <c r="B596" s="7">
        <v>0</v>
      </c>
    </row>
    <row r="597" spans="1:11" x14ac:dyDescent="0.3">
      <c r="A597" s="5" t="s">
        <v>36</v>
      </c>
      <c r="B597" s="7">
        <v>0.2</v>
      </c>
      <c r="C597" t="s">
        <v>49</v>
      </c>
      <c r="H597" s="13"/>
    </row>
    <row r="598" spans="1:11" x14ac:dyDescent="0.3">
      <c r="A598" s="5" t="s">
        <v>38</v>
      </c>
      <c r="B598" s="7">
        <v>0.02</v>
      </c>
      <c r="C598" t="s">
        <v>50</v>
      </c>
    </row>
    <row r="599" spans="1:11" x14ac:dyDescent="0.3">
      <c r="A599" s="5" t="s">
        <v>48</v>
      </c>
      <c r="B599" s="7">
        <v>0.68</v>
      </c>
      <c r="C599" t="s">
        <v>49</v>
      </c>
      <c r="G599" s="13"/>
    </row>
    <row r="601" spans="1:11" x14ac:dyDescent="0.3">
      <c r="A601" s="8" t="s">
        <v>37</v>
      </c>
      <c r="B601" s="2" t="s">
        <v>38</v>
      </c>
      <c r="C601" s="5" t="s">
        <v>39</v>
      </c>
      <c r="D601" s="5" t="s">
        <v>40</v>
      </c>
      <c r="E601" s="5" t="s">
        <v>41</v>
      </c>
      <c r="F601" s="5" t="s">
        <v>34</v>
      </c>
      <c r="G601" s="17" t="s">
        <v>45</v>
      </c>
      <c r="H601" s="8" t="s">
        <v>60</v>
      </c>
      <c r="I601" s="17" t="s">
        <v>46</v>
      </c>
      <c r="J601" s="8" t="s">
        <v>101</v>
      </c>
      <c r="K601" s="8" t="s">
        <v>96</v>
      </c>
    </row>
    <row r="602" spans="1:11" x14ac:dyDescent="0.3">
      <c r="A602" s="9">
        <v>5.2895629227854346E-2</v>
      </c>
      <c r="B602" s="4">
        <f>+B598</f>
        <v>0.02</v>
      </c>
      <c r="C602" s="2">
        <f>+A602*B597</f>
        <v>1.057912584557087E-2</v>
      </c>
      <c r="D602" s="2">
        <f>+B597+2*A602</f>
        <v>0.3057912584557087</v>
      </c>
      <c r="E602" s="2">
        <f>C602/D602</f>
        <v>3.4595906694642048E-2</v>
      </c>
      <c r="F602" s="2">
        <f>C602*(E602^(2/3))*(B602^(1/2))/B595</f>
        <v>1.2219063084866455E-2</v>
      </c>
      <c r="G602" s="31">
        <f>ROUND(A602,2)</f>
        <v>0.05</v>
      </c>
      <c r="H602" s="20">
        <f>+ROUND(G602,4)*100</f>
        <v>5</v>
      </c>
      <c r="I602" s="2">
        <f>4/5*B599</f>
        <v>0.54400000000000004</v>
      </c>
      <c r="J602" s="9">
        <f>+(B599-G602)*100</f>
        <v>63</v>
      </c>
      <c r="K602" s="20">
        <f>+B594/C602</f>
        <v>1.0959428623463756</v>
      </c>
    </row>
    <row r="604" spans="1:11" x14ac:dyDescent="0.3">
      <c r="F604" s="1" t="s">
        <v>47</v>
      </c>
      <c r="G604" s="1"/>
      <c r="H604" s="1"/>
      <c r="I604" s="1" t="str">
        <f>IF(G602&lt;I602,"CUMPLE","NO CUMPLE")</f>
        <v>CUMPLE</v>
      </c>
    </row>
    <row r="605" spans="1:11" x14ac:dyDescent="0.3">
      <c r="F605" s="1" t="s">
        <v>97</v>
      </c>
      <c r="G605" s="1"/>
      <c r="I605" s="1" t="str">
        <f>+IF(K602&lt;3,"CUMPLE","Verificar Ancho")</f>
        <v>CUMPLE</v>
      </c>
    </row>
    <row r="606" spans="1:11" x14ac:dyDescent="0.3">
      <c r="F606" s="1"/>
      <c r="G606" s="1"/>
    </row>
    <row r="608" spans="1:11" ht="18" x14ac:dyDescent="0.35">
      <c r="A608" s="37" t="s">
        <v>186</v>
      </c>
      <c r="B608" s="28"/>
      <c r="C608" s="28"/>
      <c r="D608" s="28"/>
    </row>
    <row r="609" spans="1:7" x14ac:dyDescent="0.3">
      <c r="B609" s="2" t="s">
        <v>20</v>
      </c>
      <c r="C609" s="2" t="s">
        <v>13</v>
      </c>
      <c r="D609" s="2" t="s">
        <v>17</v>
      </c>
      <c r="E609" s="2" t="s">
        <v>22</v>
      </c>
      <c r="F609" s="2" t="s">
        <v>18</v>
      </c>
      <c r="G609" s="2" t="s">
        <v>19</v>
      </c>
    </row>
    <row r="610" spans="1:7" x14ac:dyDescent="0.3">
      <c r="A610" s="2" t="s">
        <v>54</v>
      </c>
      <c r="B610" s="47"/>
      <c r="C610" s="48"/>
      <c r="D610" s="48"/>
      <c r="E610" s="49"/>
      <c r="F610" s="6">
        <f>+B594</f>
        <v>1.1594117460317461E-2</v>
      </c>
      <c r="G610" s="2"/>
    </row>
    <row r="611" spans="1:7" x14ac:dyDescent="0.3">
      <c r="A611" s="7" t="s">
        <v>24</v>
      </c>
      <c r="B611" s="2">
        <f>+$B$7/10000</f>
        <v>4.7840000000000001E-3</v>
      </c>
      <c r="C611" s="2">
        <v>0.97</v>
      </c>
      <c r="D611" s="2">
        <v>100</v>
      </c>
      <c r="E611" s="2"/>
      <c r="F611" s="6">
        <f t="shared" ref="F611" si="20">+B611*C611*D611/360</f>
        <v>1.2890222222222221E-3</v>
      </c>
      <c r="G611" s="6"/>
    </row>
    <row r="612" spans="1:7" x14ac:dyDescent="0.3">
      <c r="A612" s="11"/>
      <c r="B612" s="11"/>
      <c r="C612" s="11"/>
      <c r="D612" s="11"/>
      <c r="E612" s="11"/>
      <c r="F612" s="12"/>
      <c r="G612" s="12"/>
    </row>
    <row r="613" spans="1:7" x14ac:dyDescent="0.3">
      <c r="F613" s="2" t="s">
        <v>43</v>
      </c>
      <c r="G613" s="6">
        <f>+F610+F611</f>
        <v>1.2883139682539683E-2</v>
      </c>
    </row>
    <row r="614" spans="1:7" x14ac:dyDescent="0.3">
      <c r="A614" s="1" t="s">
        <v>71</v>
      </c>
      <c r="B614" s="1"/>
      <c r="C614" s="1"/>
    </row>
    <row r="615" spans="1:7" x14ac:dyDescent="0.3">
      <c r="A615" s="5" t="s">
        <v>66</v>
      </c>
      <c r="B615" s="14">
        <f>+G613</f>
        <v>1.2883139682539683E-2</v>
      </c>
      <c r="C615" t="s">
        <v>15</v>
      </c>
    </row>
    <row r="616" spans="1:7" x14ac:dyDescent="0.3">
      <c r="A616" s="5" t="s">
        <v>56</v>
      </c>
      <c r="B616" s="7">
        <v>0.01</v>
      </c>
      <c r="D616" s="1"/>
      <c r="E616" s="1"/>
    </row>
    <row r="617" spans="1:7" ht="18" x14ac:dyDescent="0.35">
      <c r="A617" s="21" t="s">
        <v>68</v>
      </c>
      <c r="B617" s="15">
        <f>300*PI()/180</f>
        <v>5.2359877559829888</v>
      </c>
      <c r="C617" t="s">
        <v>58</v>
      </c>
    </row>
    <row r="618" spans="1:7" x14ac:dyDescent="0.3">
      <c r="A618" s="5" t="s">
        <v>38</v>
      </c>
      <c r="B618" s="7">
        <v>0.1181</v>
      </c>
      <c r="C618" t="s">
        <v>50</v>
      </c>
    </row>
    <row r="619" spans="1:7" x14ac:dyDescent="0.3">
      <c r="A619" s="23" t="s">
        <v>57</v>
      </c>
      <c r="B619" s="22">
        <v>4</v>
      </c>
      <c r="C619" t="s">
        <v>65</v>
      </c>
      <c r="G619" s="13"/>
    </row>
    <row r="621" spans="1:7" x14ac:dyDescent="0.3">
      <c r="A621" s="8" t="s">
        <v>57</v>
      </c>
      <c r="B621" s="2" t="s">
        <v>38</v>
      </c>
      <c r="C621" s="5" t="s">
        <v>39</v>
      </c>
      <c r="D621" s="5" t="s">
        <v>40</v>
      </c>
      <c r="E621" s="5" t="s">
        <v>41</v>
      </c>
      <c r="F621" s="8" t="s">
        <v>99</v>
      </c>
      <c r="G621" s="8" t="s">
        <v>96</v>
      </c>
    </row>
    <row r="622" spans="1:7" x14ac:dyDescent="0.3">
      <c r="A622" s="9">
        <f>+B619*0.0254</f>
        <v>0.1016</v>
      </c>
      <c r="B622" s="2">
        <f>+B618</f>
        <v>0.1181</v>
      </c>
      <c r="C622" s="4">
        <f>+((B617-SIN(B617))*(A622)^2)/8</f>
        <v>7.8735496203111068E-3</v>
      </c>
      <c r="D622" s="2">
        <f>+B617*A622/2</f>
        <v>0.26598817800393582</v>
      </c>
      <c r="E622" s="2">
        <f>(1-SIN(B617)/B617)*(A622)/4</f>
        <v>2.9601126183114054E-2</v>
      </c>
      <c r="F622" s="9">
        <f>C622*(E622^(2/3))*(B622^(1/2))/B616</f>
        <v>2.5892123734715371E-2</v>
      </c>
      <c r="G622" s="20">
        <f>+B615/C622</f>
        <v>1.6362556031025093</v>
      </c>
    </row>
    <row r="624" spans="1:7" x14ac:dyDescent="0.3">
      <c r="C624" s="1" t="s">
        <v>100</v>
      </c>
      <c r="D624" s="1"/>
      <c r="F624" s="1" t="str">
        <f>+IF(B615&lt;F622,"CUMPLE","NO CUMPLE")</f>
        <v>CUMPLE</v>
      </c>
      <c r="G624" s="1"/>
    </row>
    <row r="625" spans="1:8" x14ac:dyDescent="0.3">
      <c r="C625" s="1" t="s">
        <v>98</v>
      </c>
      <c r="D625" s="1"/>
      <c r="F625" s="1" t="str">
        <f>+IF(G622&lt;5,"CUMPLE","Verificar Diametro")</f>
        <v>CUMPLE</v>
      </c>
      <c r="H625" s="34"/>
    </row>
    <row r="626" spans="1:8" x14ac:dyDescent="0.3">
      <c r="C626" s="1" t="s">
        <v>69</v>
      </c>
      <c r="D626" s="1"/>
    </row>
    <row r="627" spans="1:8" x14ac:dyDescent="0.3">
      <c r="D627" s="27" t="s">
        <v>59</v>
      </c>
      <c r="E627" s="27">
        <f>IF(B615&lt;F622,A622/0.0254,"Modificar Diametro")</f>
        <v>4</v>
      </c>
      <c r="F627" s="27" t="s">
        <v>65</v>
      </c>
    </row>
    <row r="628" spans="1:8" x14ac:dyDescent="0.3">
      <c r="D628" s="35"/>
      <c r="E628" s="35"/>
      <c r="F628" s="35"/>
    </row>
    <row r="629" spans="1:8" x14ac:dyDescent="0.3">
      <c r="D629" s="35"/>
      <c r="E629" s="35"/>
      <c r="F629" s="35"/>
    </row>
    <row r="630" spans="1:8" ht="18" x14ac:dyDescent="0.35">
      <c r="A630" s="10" t="s">
        <v>187</v>
      </c>
      <c r="B630" s="28"/>
      <c r="C630" s="28"/>
      <c r="D630" s="28"/>
    </row>
    <row r="631" spans="1:8" x14ac:dyDescent="0.3">
      <c r="B631" s="2" t="s">
        <v>20</v>
      </c>
      <c r="C631" s="2" t="s">
        <v>13</v>
      </c>
      <c r="D631" s="2" t="s">
        <v>17</v>
      </c>
      <c r="E631" s="2" t="s">
        <v>22</v>
      </c>
      <c r="F631" s="2" t="s">
        <v>18</v>
      </c>
      <c r="G631" s="2" t="s">
        <v>19</v>
      </c>
    </row>
    <row r="632" spans="1:8" x14ac:dyDescent="0.3">
      <c r="A632" s="2" t="s">
        <v>54</v>
      </c>
      <c r="B632" s="47"/>
      <c r="C632" s="48"/>
      <c r="D632" s="48"/>
      <c r="E632" s="49"/>
      <c r="F632" s="6">
        <f>+B548+B615</f>
        <v>0.12439802208994709</v>
      </c>
      <c r="G632" s="2"/>
    </row>
    <row r="633" spans="1:8" x14ac:dyDescent="0.3">
      <c r="A633" s="7" t="s">
        <v>25</v>
      </c>
      <c r="B633" s="2">
        <f>+$B$8/10000</f>
        <v>3.5923999999999998E-2</v>
      </c>
      <c r="C633" s="2">
        <v>0.97</v>
      </c>
      <c r="D633" s="2">
        <v>100</v>
      </c>
      <c r="E633" s="2">
        <v>6</v>
      </c>
      <c r="F633" s="6">
        <f t="shared" ref="F633" si="21">+B633*C633*D633/360</f>
        <v>9.679522222222221E-3</v>
      </c>
      <c r="G633" s="6">
        <f t="shared" ref="G633" si="22">+F633/E633</f>
        <v>1.6132537037037034E-3</v>
      </c>
    </row>
    <row r="634" spans="1:8" x14ac:dyDescent="0.3">
      <c r="A634" s="11"/>
      <c r="B634" s="11"/>
      <c r="C634" s="11"/>
      <c r="D634" s="11"/>
      <c r="E634" s="11"/>
      <c r="F634" s="12"/>
      <c r="G634" s="12"/>
    </row>
    <row r="635" spans="1:8" x14ac:dyDescent="0.3">
      <c r="F635" s="2" t="s">
        <v>43</v>
      </c>
      <c r="G635" s="6">
        <f>+F632+G633</f>
        <v>0.12601127579365079</v>
      </c>
    </row>
    <row r="636" spans="1:8" x14ac:dyDescent="0.3">
      <c r="A636" s="1" t="s">
        <v>71</v>
      </c>
      <c r="B636" s="1"/>
      <c r="C636" s="1"/>
    </row>
    <row r="637" spans="1:8" x14ac:dyDescent="0.3">
      <c r="A637" s="5" t="s">
        <v>66</v>
      </c>
      <c r="B637" s="14">
        <f>+G635</f>
        <v>0.12601127579365079</v>
      </c>
      <c r="C637" t="s">
        <v>15</v>
      </c>
    </row>
    <row r="638" spans="1:8" x14ac:dyDescent="0.3">
      <c r="A638" s="5" t="s">
        <v>56</v>
      </c>
      <c r="B638" s="7">
        <v>0.01</v>
      </c>
      <c r="D638" s="1"/>
      <c r="E638" s="1"/>
    </row>
    <row r="639" spans="1:8" ht="18" x14ac:dyDescent="0.35">
      <c r="A639" s="21" t="s">
        <v>93</v>
      </c>
      <c r="B639" s="15">
        <f>180*PI()/180</f>
        <v>3.1415926535897931</v>
      </c>
      <c r="C639" t="s">
        <v>58</v>
      </c>
    </row>
    <row r="640" spans="1:8" x14ac:dyDescent="0.3">
      <c r="A640" s="5" t="s">
        <v>38</v>
      </c>
      <c r="B640" s="7">
        <v>0.02</v>
      </c>
      <c r="C640" t="s">
        <v>50</v>
      </c>
    </row>
    <row r="641" spans="1:7" x14ac:dyDescent="0.3">
      <c r="A641" s="23" t="s">
        <v>57</v>
      </c>
      <c r="B641" s="22">
        <v>16</v>
      </c>
      <c r="C641" t="s">
        <v>65</v>
      </c>
      <c r="G641" s="13"/>
    </row>
    <row r="643" spans="1:7" x14ac:dyDescent="0.3">
      <c r="A643" s="8" t="s">
        <v>57</v>
      </c>
      <c r="B643" s="2" t="s">
        <v>38</v>
      </c>
      <c r="C643" s="5" t="s">
        <v>39</v>
      </c>
      <c r="D643" s="5" t="s">
        <v>40</v>
      </c>
      <c r="E643" s="5" t="s">
        <v>41</v>
      </c>
      <c r="F643" s="8" t="s">
        <v>99</v>
      </c>
      <c r="G643" s="8" t="s">
        <v>96</v>
      </c>
    </row>
    <row r="644" spans="1:7" x14ac:dyDescent="0.3">
      <c r="A644" s="9">
        <f>+B641*0.0254</f>
        <v>0.40639999999999998</v>
      </c>
      <c r="B644" s="2">
        <f>+B640</f>
        <v>0.02</v>
      </c>
      <c r="C644" s="4">
        <f>+((B639-SIN(B639))*(A644)^2)/8</f>
        <v>6.4858557324479704E-2</v>
      </c>
      <c r="D644" s="2">
        <f>+B639*A644/2</f>
        <v>0.63837162720944596</v>
      </c>
      <c r="E644" s="2">
        <f>(1-SIN(B639)/B639)*(A644)/4</f>
        <v>0.1016</v>
      </c>
      <c r="F644" s="9">
        <f>C644*(E644^(2/3))*(B644^(1/2))/B638</f>
        <v>0.1997153384828998</v>
      </c>
      <c r="G644" s="20">
        <f>+B637/C644</f>
        <v>1.9428627615509739</v>
      </c>
    </row>
    <row r="646" spans="1:7" x14ac:dyDescent="0.3">
      <c r="C646" s="1" t="s">
        <v>100</v>
      </c>
      <c r="D646" s="1"/>
      <c r="F646" s="1" t="str">
        <f>+IF(B637&lt;F644,"CUMPLE","NO CUMPLE")</f>
        <v>CUMPLE</v>
      </c>
      <c r="G646" s="1"/>
    </row>
    <row r="647" spans="1:7" x14ac:dyDescent="0.3">
      <c r="C647" s="1" t="s">
        <v>98</v>
      </c>
      <c r="D647" s="1"/>
      <c r="F647" s="1" t="str">
        <f>+IF(G644&lt;5,"CUMPLE","Verificar Diametro")</f>
        <v>CUMPLE</v>
      </c>
    </row>
    <row r="648" spans="1:7" x14ac:dyDescent="0.3">
      <c r="C648" s="1" t="s">
        <v>69</v>
      </c>
      <c r="D648" s="1"/>
    </row>
    <row r="649" spans="1:7" x14ac:dyDescent="0.3">
      <c r="D649" s="27" t="s">
        <v>59</v>
      </c>
      <c r="E649" s="27">
        <f>IF(B637&lt;F644,A644/0.0254,"Modificar Diametro")</f>
        <v>16</v>
      </c>
      <c r="F649" s="27" t="s">
        <v>65</v>
      </c>
    </row>
    <row r="652" spans="1:7" ht="18" x14ac:dyDescent="0.35">
      <c r="A652" s="37" t="s">
        <v>188</v>
      </c>
      <c r="B652" s="28"/>
      <c r="C652" s="28"/>
      <c r="D652" s="28"/>
    </row>
    <row r="653" spans="1:7" x14ac:dyDescent="0.3">
      <c r="B653" s="2" t="s">
        <v>20</v>
      </c>
      <c r="C653" s="2" t="s">
        <v>13</v>
      </c>
      <c r="D653" s="2" t="s">
        <v>17</v>
      </c>
      <c r="E653" s="2" t="s">
        <v>22</v>
      </c>
      <c r="F653" s="2" t="s">
        <v>18</v>
      </c>
      <c r="G653" s="2" t="s">
        <v>19</v>
      </c>
    </row>
    <row r="654" spans="1:7" x14ac:dyDescent="0.3">
      <c r="A654" s="2" t="s">
        <v>54</v>
      </c>
      <c r="B654" s="47"/>
      <c r="C654" s="48"/>
      <c r="D654" s="48"/>
      <c r="E654" s="49"/>
      <c r="F654" s="6">
        <f>+B637</f>
        <v>0.12601127579365079</v>
      </c>
      <c r="G654" s="2"/>
    </row>
    <row r="655" spans="1:7" x14ac:dyDescent="0.3">
      <c r="A655" s="11"/>
      <c r="B655" s="11"/>
      <c r="C655" s="11"/>
      <c r="D655" s="11"/>
      <c r="E655" s="11"/>
      <c r="F655" s="12"/>
      <c r="G655" s="12"/>
    </row>
    <row r="656" spans="1:7" x14ac:dyDescent="0.3">
      <c r="F656" s="2" t="s">
        <v>43</v>
      </c>
      <c r="G656" s="6">
        <f>+F654</f>
        <v>0.12601127579365079</v>
      </c>
    </row>
    <row r="657" spans="1:7" x14ac:dyDescent="0.3">
      <c r="A657" s="1" t="s">
        <v>71</v>
      </c>
      <c r="B657" s="1"/>
      <c r="C657" s="1"/>
    </row>
    <row r="658" spans="1:7" x14ac:dyDescent="0.3">
      <c r="A658" s="5" t="s">
        <v>66</v>
      </c>
      <c r="B658" s="14">
        <f>+G656</f>
        <v>0.12601127579365079</v>
      </c>
      <c r="C658" t="s">
        <v>15</v>
      </c>
    </row>
    <row r="659" spans="1:7" x14ac:dyDescent="0.3">
      <c r="A659" s="5" t="s">
        <v>56</v>
      </c>
      <c r="B659" s="7">
        <v>0.01</v>
      </c>
      <c r="D659" s="1"/>
      <c r="E659" s="1"/>
    </row>
    <row r="660" spans="1:7" ht="18" x14ac:dyDescent="0.35">
      <c r="A660" s="21" t="s">
        <v>93</v>
      </c>
      <c r="B660" s="15">
        <f>180*PI()/180</f>
        <v>3.1415926535897931</v>
      </c>
      <c r="C660" t="s">
        <v>58</v>
      </c>
    </row>
    <row r="661" spans="1:7" x14ac:dyDescent="0.3">
      <c r="A661" s="5" t="s">
        <v>38</v>
      </c>
      <c r="B661" s="7">
        <v>0.24809999999999999</v>
      </c>
      <c r="C661" t="s">
        <v>50</v>
      </c>
    </row>
    <row r="662" spans="1:7" x14ac:dyDescent="0.3">
      <c r="A662" s="23" t="s">
        <v>57</v>
      </c>
      <c r="B662" s="22">
        <v>16</v>
      </c>
      <c r="C662" t="s">
        <v>65</v>
      </c>
      <c r="G662" s="13"/>
    </row>
    <row r="664" spans="1:7" x14ac:dyDescent="0.3">
      <c r="A664" s="8" t="s">
        <v>57</v>
      </c>
      <c r="B664" s="2" t="s">
        <v>38</v>
      </c>
      <c r="C664" s="5" t="s">
        <v>39</v>
      </c>
      <c r="D664" s="5" t="s">
        <v>40</v>
      </c>
      <c r="E664" s="5" t="s">
        <v>41</v>
      </c>
      <c r="F664" s="8" t="s">
        <v>99</v>
      </c>
      <c r="G664" s="8" t="s">
        <v>96</v>
      </c>
    </row>
    <row r="665" spans="1:7" x14ac:dyDescent="0.3">
      <c r="A665" s="9">
        <f>+B662*0.0254</f>
        <v>0.40639999999999998</v>
      </c>
      <c r="B665" s="2">
        <f>+B661</f>
        <v>0.24809999999999999</v>
      </c>
      <c r="C665" s="4">
        <f>+((B660-SIN(B660))*(A665)^2)/8</f>
        <v>6.4858557324479704E-2</v>
      </c>
      <c r="D665" s="2">
        <f>+B660*A665/2</f>
        <v>0.63837162720944596</v>
      </c>
      <c r="E665" s="2">
        <f>(1-SIN(B660)/B660)*(A665)/4</f>
        <v>0.1016</v>
      </c>
      <c r="F665" s="9">
        <f>C665*(E665^(2/3))*(B665^(1/2))/B659</f>
        <v>0.70341205189869549</v>
      </c>
      <c r="G665" s="20">
        <f>+B658/C665</f>
        <v>1.9428627615509739</v>
      </c>
    </row>
    <row r="667" spans="1:7" x14ac:dyDescent="0.3">
      <c r="C667" s="1" t="s">
        <v>100</v>
      </c>
      <c r="D667" s="1"/>
      <c r="F667" s="1" t="str">
        <f>+IF(B658&lt;F665,"CUMPLE","NO CUMPLE")</f>
        <v>CUMPLE</v>
      </c>
      <c r="G667" s="1"/>
    </row>
    <row r="668" spans="1:7" x14ac:dyDescent="0.3">
      <c r="C668" s="1" t="s">
        <v>98</v>
      </c>
      <c r="D668" s="1"/>
      <c r="F668" s="1" t="str">
        <f>+IF(G665&lt;5,"CUMPLE","Verificar Diametro")</f>
        <v>CUMPLE</v>
      </c>
    </row>
    <row r="669" spans="1:7" x14ac:dyDescent="0.3">
      <c r="C669" s="1" t="s">
        <v>69</v>
      </c>
      <c r="D669" s="1"/>
    </row>
    <row r="670" spans="1:7" x14ac:dyDescent="0.3">
      <c r="D670" s="27" t="s">
        <v>59</v>
      </c>
      <c r="E670" s="27">
        <f>IF(B658&lt;F665,A665/0.0254,"Modificar Diametro")</f>
        <v>16</v>
      </c>
      <c r="F670" s="27" t="s">
        <v>65</v>
      </c>
    </row>
    <row r="673" spans="1:11" ht="18" x14ac:dyDescent="0.35">
      <c r="A673" s="26" t="s">
        <v>154</v>
      </c>
      <c r="B673" s="28"/>
    </row>
    <row r="674" spans="1:11" x14ac:dyDescent="0.3">
      <c r="A674" t="s">
        <v>90</v>
      </c>
      <c r="B674" s="2" t="s">
        <v>20</v>
      </c>
      <c r="C674" s="2" t="s">
        <v>13</v>
      </c>
      <c r="D674" s="2" t="s">
        <v>17</v>
      </c>
      <c r="E674" s="2" t="s">
        <v>22</v>
      </c>
      <c r="F674" s="2" t="s">
        <v>18</v>
      </c>
      <c r="G674" s="2" t="s">
        <v>19</v>
      </c>
    </row>
    <row r="675" spans="1:11" x14ac:dyDescent="0.3">
      <c r="A675" s="7" t="s">
        <v>25</v>
      </c>
      <c r="B675" s="2">
        <f>+$B$8/10000</f>
        <v>3.5923999999999998E-2</v>
      </c>
      <c r="C675" s="2">
        <v>0.97</v>
      </c>
      <c r="D675" s="2">
        <v>100</v>
      </c>
      <c r="E675" s="2">
        <v>6</v>
      </c>
      <c r="F675" s="6">
        <f t="shared" ref="F675:F676" si="23">+B675*C675*D675/360</f>
        <v>9.679522222222221E-3</v>
      </c>
      <c r="G675" s="6">
        <f t="shared" ref="G675" si="24">+F675/E675</f>
        <v>1.6132537037037034E-3</v>
      </c>
    </row>
    <row r="676" spans="1:11" x14ac:dyDescent="0.3">
      <c r="A676" s="2" t="s">
        <v>88</v>
      </c>
      <c r="B676" s="2">
        <f>(67+12)/10000</f>
        <v>7.9000000000000008E-3</v>
      </c>
      <c r="C676" s="2">
        <v>0.97</v>
      </c>
      <c r="D676" s="2">
        <v>100</v>
      </c>
      <c r="E676" s="2"/>
      <c r="F676" s="6">
        <f t="shared" si="23"/>
        <v>2.1286111111111115E-3</v>
      </c>
      <c r="G676" s="2"/>
    </row>
    <row r="677" spans="1:11" x14ac:dyDescent="0.3">
      <c r="A677" s="11"/>
      <c r="B677" s="11"/>
      <c r="C677" s="11"/>
      <c r="D677" s="11"/>
      <c r="E677" s="11"/>
      <c r="F677" s="12"/>
      <c r="G677" s="12"/>
    </row>
    <row r="678" spans="1:11" x14ac:dyDescent="0.3">
      <c r="F678" s="2" t="s">
        <v>43</v>
      </c>
      <c r="G678" s="6">
        <f>+G675*2+F676</f>
        <v>5.3551185185185188E-3</v>
      </c>
    </row>
    <row r="679" spans="1:11" x14ac:dyDescent="0.3">
      <c r="F679" s="11"/>
      <c r="G679" s="12"/>
    </row>
    <row r="680" spans="1:11" x14ac:dyDescent="0.3">
      <c r="A680" s="1" t="s">
        <v>33</v>
      </c>
      <c r="B680" s="1"/>
      <c r="C680" s="1"/>
    </row>
    <row r="681" spans="1:11" x14ac:dyDescent="0.3">
      <c r="A681" s="5" t="s">
        <v>34</v>
      </c>
      <c r="B681" s="14">
        <f>+G678</f>
        <v>5.3551185185185188E-3</v>
      </c>
      <c r="C681" t="s">
        <v>15</v>
      </c>
    </row>
    <row r="682" spans="1:11" x14ac:dyDescent="0.3">
      <c r="A682" s="5" t="s">
        <v>44</v>
      </c>
      <c r="B682" s="7">
        <v>1.2999999999999999E-2</v>
      </c>
    </row>
    <row r="683" spans="1:11" x14ac:dyDescent="0.3">
      <c r="A683" s="5" t="s">
        <v>35</v>
      </c>
      <c r="B683" s="7">
        <v>0</v>
      </c>
    </row>
    <row r="684" spans="1:11" x14ac:dyDescent="0.3">
      <c r="A684" s="5" t="s">
        <v>36</v>
      </c>
      <c r="B684" s="7">
        <v>0.2</v>
      </c>
      <c r="C684" t="s">
        <v>49</v>
      </c>
      <c r="H684" s="13"/>
    </row>
    <row r="685" spans="1:11" x14ac:dyDescent="0.3">
      <c r="A685" s="5" t="s">
        <v>38</v>
      </c>
      <c r="B685" s="7">
        <v>0.01</v>
      </c>
      <c r="C685" t="s">
        <v>50</v>
      </c>
    </row>
    <row r="686" spans="1:11" x14ac:dyDescent="0.3">
      <c r="A686" s="5" t="s">
        <v>48</v>
      </c>
      <c r="B686" s="7">
        <v>0.4</v>
      </c>
      <c r="C686" t="s">
        <v>49</v>
      </c>
      <c r="G686" s="13"/>
    </row>
    <row r="688" spans="1:11" x14ac:dyDescent="0.3">
      <c r="A688" s="8" t="s">
        <v>37</v>
      </c>
      <c r="B688" s="2" t="s">
        <v>38</v>
      </c>
      <c r="C688" s="5" t="s">
        <v>39</v>
      </c>
      <c r="D688" s="5" t="s">
        <v>40</v>
      </c>
      <c r="E688" s="5" t="s">
        <v>41</v>
      </c>
      <c r="F688" s="5" t="s">
        <v>34</v>
      </c>
      <c r="G688" s="17" t="s">
        <v>45</v>
      </c>
      <c r="H688" s="8" t="s">
        <v>60</v>
      </c>
      <c r="I688" s="17" t="s">
        <v>46</v>
      </c>
      <c r="J688" s="8" t="s">
        <v>101</v>
      </c>
      <c r="K688" s="8" t="s">
        <v>96</v>
      </c>
    </row>
    <row r="689" spans="1:11" x14ac:dyDescent="0.3">
      <c r="A689" s="9">
        <v>3.8904547575315265E-2</v>
      </c>
      <c r="B689" s="4">
        <f>+B685</f>
        <v>0.01</v>
      </c>
      <c r="C689" s="2">
        <f>+A689*B684</f>
        <v>7.7809095150630538E-3</v>
      </c>
      <c r="D689" s="2">
        <f>+B684+2*A689</f>
        <v>0.27780909515063057</v>
      </c>
      <c r="E689" s="2">
        <f>C689/D689</f>
        <v>2.8008116547963181E-2</v>
      </c>
      <c r="F689" s="2">
        <f>C689*(E689^(2/3))*(B689^(1/2))/B682</f>
        <v>5.5200492079544366E-3</v>
      </c>
      <c r="G689" s="31">
        <f>ROUND(A689,2)</f>
        <v>0.04</v>
      </c>
      <c r="H689" s="20">
        <f>+ROUND(G689,4)*100</f>
        <v>4</v>
      </c>
      <c r="I689" s="2">
        <f>4/5*B686</f>
        <v>0.32000000000000006</v>
      </c>
      <c r="J689" s="9">
        <f>+(B686-G689)*100</f>
        <v>36.000000000000007</v>
      </c>
      <c r="K689" s="20">
        <f>+B681/C689</f>
        <v>0.68823811768425669</v>
      </c>
    </row>
    <row r="691" spans="1:11" x14ac:dyDescent="0.3">
      <c r="F691" s="1" t="s">
        <v>47</v>
      </c>
      <c r="G691" s="1"/>
      <c r="H691" s="1"/>
      <c r="I691" s="1" t="str">
        <f>IF(G689&lt;I689,"CUMPLE","NO CUMPLE")</f>
        <v>CUMPLE</v>
      </c>
    </row>
    <row r="692" spans="1:11" x14ac:dyDescent="0.3">
      <c r="F692" s="1" t="s">
        <v>97</v>
      </c>
      <c r="G692" s="1"/>
      <c r="I692" s="1" t="str">
        <f>+IF(K689&lt;3,"CUMPLE","Verificar Ancho")</f>
        <v>CUMPLE</v>
      </c>
    </row>
    <row r="693" spans="1:11" x14ac:dyDescent="0.3">
      <c r="H693" s="1"/>
      <c r="I693" s="1"/>
    </row>
    <row r="695" spans="1:11" ht="18" x14ac:dyDescent="0.35">
      <c r="A695" s="37" t="s">
        <v>155</v>
      </c>
      <c r="B695" s="28"/>
      <c r="C695" s="28"/>
      <c r="D695" s="28"/>
    </row>
    <row r="696" spans="1:11" x14ac:dyDescent="0.3">
      <c r="B696" s="2" t="s">
        <v>20</v>
      </c>
      <c r="C696" s="2" t="s">
        <v>13</v>
      </c>
      <c r="D696" s="2" t="s">
        <v>17</v>
      </c>
      <c r="E696" s="2" t="s">
        <v>22</v>
      </c>
      <c r="F696" s="2" t="s">
        <v>18</v>
      </c>
      <c r="G696" s="2" t="s">
        <v>19</v>
      </c>
    </row>
    <row r="697" spans="1:11" x14ac:dyDescent="0.3">
      <c r="A697" s="2" t="s">
        <v>54</v>
      </c>
      <c r="B697" s="47"/>
      <c r="C697" s="48"/>
      <c r="D697" s="48"/>
      <c r="E697" s="49"/>
      <c r="F697" s="6">
        <f>+B681</f>
        <v>5.3551185185185188E-3</v>
      </c>
      <c r="G697" s="2"/>
    </row>
    <row r="698" spans="1:11" x14ac:dyDescent="0.3">
      <c r="A698" s="11"/>
      <c r="B698" s="11"/>
      <c r="C698" s="11"/>
      <c r="D698" s="11"/>
      <c r="E698" s="11"/>
      <c r="F698" s="12"/>
      <c r="G698" s="12"/>
    </row>
    <row r="699" spans="1:11" x14ac:dyDescent="0.3">
      <c r="F699" s="2" t="s">
        <v>43</v>
      </c>
      <c r="G699" s="6">
        <f>+F697</f>
        <v>5.3551185185185188E-3</v>
      </c>
    </row>
    <row r="700" spans="1:11" x14ac:dyDescent="0.3">
      <c r="A700" s="1" t="s">
        <v>71</v>
      </c>
      <c r="B700" s="1"/>
      <c r="C700" s="1"/>
    </row>
    <row r="701" spans="1:11" x14ac:dyDescent="0.3">
      <c r="A701" s="5" t="s">
        <v>66</v>
      </c>
      <c r="B701" s="14">
        <f>+G699</f>
        <v>5.3551185185185188E-3</v>
      </c>
      <c r="C701" t="s">
        <v>15</v>
      </c>
    </row>
    <row r="702" spans="1:11" x14ac:dyDescent="0.3">
      <c r="A702" s="5" t="s">
        <v>56</v>
      </c>
      <c r="B702" s="7">
        <v>0.01</v>
      </c>
      <c r="D702" s="1"/>
      <c r="E702" s="1"/>
    </row>
    <row r="703" spans="1:11" ht="18" x14ac:dyDescent="0.35">
      <c r="A703" s="21" t="s">
        <v>68</v>
      </c>
      <c r="B703" s="15">
        <f>300*PI()/180</f>
        <v>5.2359877559829888</v>
      </c>
      <c r="C703" t="s">
        <v>58</v>
      </c>
    </row>
    <row r="704" spans="1:11" x14ac:dyDescent="0.3">
      <c r="A704" s="5" t="s">
        <v>38</v>
      </c>
      <c r="B704" s="7">
        <v>0.50290000000000001</v>
      </c>
      <c r="C704" t="s">
        <v>50</v>
      </c>
    </row>
    <row r="705" spans="1:7" x14ac:dyDescent="0.3">
      <c r="A705" s="23" t="s">
        <v>57</v>
      </c>
      <c r="B705" s="22">
        <v>4</v>
      </c>
      <c r="C705" t="s">
        <v>65</v>
      </c>
      <c r="G705" s="13"/>
    </row>
    <row r="707" spans="1:7" x14ac:dyDescent="0.3">
      <c r="A707" s="8" t="s">
        <v>57</v>
      </c>
      <c r="B707" s="2" t="s">
        <v>38</v>
      </c>
      <c r="C707" s="5" t="s">
        <v>39</v>
      </c>
      <c r="D707" s="5" t="s">
        <v>40</v>
      </c>
      <c r="E707" s="5" t="s">
        <v>41</v>
      </c>
      <c r="F707" s="8" t="s">
        <v>99</v>
      </c>
      <c r="G707" s="8" t="s">
        <v>96</v>
      </c>
    </row>
    <row r="708" spans="1:7" x14ac:dyDescent="0.3">
      <c r="A708" s="9">
        <f>+B705*0.0254</f>
        <v>0.1016</v>
      </c>
      <c r="B708" s="2">
        <f>+B704</f>
        <v>0.50290000000000001</v>
      </c>
      <c r="C708" s="4">
        <f>+((B703-SIN(B703))*(A708)^2)/8</f>
        <v>7.8735496203111068E-3</v>
      </c>
      <c r="D708" s="2">
        <f>+B703*A708/2</f>
        <v>0.26598817800393582</v>
      </c>
      <c r="E708" s="2">
        <f>(1-SIN(B703)/B703)*(A708)/4</f>
        <v>2.9601126183114054E-2</v>
      </c>
      <c r="F708" s="9">
        <f>C708*(E708^(2/3))*(B708^(1/2))/B702</f>
        <v>5.3429799294199477E-2</v>
      </c>
      <c r="G708" s="20">
        <f>+B701/C708</f>
        <v>0.68014031494817995</v>
      </c>
    </row>
    <row r="710" spans="1:7" x14ac:dyDescent="0.3">
      <c r="C710" s="1" t="s">
        <v>100</v>
      </c>
      <c r="D710" s="1"/>
      <c r="F710" s="1" t="str">
        <f>+IF(B701&lt;F708,"CUMPLE","NO CUMPLE")</f>
        <v>CUMPLE</v>
      </c>
      <c r="G710" s="1"/>
    </row>
    <row r="711" spans="1:7" x14ac:dyDescent="0.3">
      <c r="C711" s="1" t="s">
        <v>98</v>
      </c>
      <c r="D711" s="1"/>
      <c r="F711" s="1" t="str">
        <f>+IF(G708&lt;5,"CUMPLE","Verificar Diametro")</f>
        <v>CUMPLE</v>
      </c>
    </row>
    <row r="712" spans="1:7" x14ac:dyDescent="0.3">
      <c r="C712" s="1" t="s">
        <v>69</v>
      </c>
      <c r="D712" s="1"/>
    </row>
    <row r="713" spans="1:7" x14ac:dyDescent="0.3">
      <c r="D713" s="27" t="s">
        <v>59</v>
      </c>
      <c r="E713" s="27">
        <f>IF(B701&lt;F708,A708/0.0254,"Modificar Diametro")</f>
        <v>4</v>
      </c>
      <c r="F713" s="27" t="s">
        <v>65</v>
      </c>
    </row>
    <row r="716" spans="1:7" ht="18" x14ac:dyDescent="0.35">
      <c r="A716" s="10" t="s">
        <v>189</v>
      </c>
      <c r="B716" s="28"/>
      <c r="C716" s="28"/>
      <c r="D716" s="28"/>
    </row>
    <row r="717" spans="1:7" x14ac:dyDescent="0.3">
      <c r="B717" s="2" t="s">
        <v>20</v>
      </c>
      <c r="C717" s="2" t="s">
        <v>13</v>
      </c>
      <c r="D717" s="2" t="s">
        <v>17</v>
      </c>
      <c r="E717" s="2" t="s">
        <v>22</v>
      </c>
      <c r="F717" s="2" t="s">
        <v>18</v>
      </c>
      <c r="G717" s="2" t="s">
        <v>19</v>
      </c>
    </row>
    <row r="718" spans="1:7" x14ac:dyDescent="0.3">
      <c r="A718" s="2" t="s">
        <v>54</v>
      </c>
      <c r="B718" s="47"/>
      <c r="C718" s="48"/>
      <c r="D718" s="48"/>
      <c r="E718" s="49"/>
      <c r="F718" s="6">
        <f>+B701+B658</f>
        <v>0.13136639431216932</v>
      </c>
      <c r="G718" s="2"/>
    </row>
    <row r="719" spans="1:7" x14ac:dyDescent="0.3">
      <c r="A719" s="11"/>
      <c r="B719" s="11"/>
      <c r="C719" s="11"/>
      <c r="D719" s="11"/>
      <c r="E719" s="11"/>
      <c r="F719" s="12"/>
      <c r="G719" s="12"/>
    </row>
    <row r="720" spans="1:7" x14ac:dyDescent="0.3">
      <c r="F720" s="2" t="s">
        <v>43</v>
      </c>
      <c r="G720" s="6">
        <f>+F718</f>
        <v>0.13136639431216932</v>
      </c>
    </row>
    <row r="721" spans="1:7" x14ac:dyDescent="0.3">
      <c r="A721" s="1" t="s">
        <v>71</v>
      </c>
      <c r="B721" s="1"/>
      <c r="C721" s="1"/>
    </row>
    <row r="722" spans="1:7" x14ac:dyDescent="0.3">
      <c r="A722" s="5" t="s">
        <v>66</v>
      </c>
      <c r="B722" s="14">
        <f>+B658+B701</f>
        <v>0.13136639431216932</v>
      </c>
      <c r="C722" t="s">
        <v>15</v>
      </c>
    </row>
    <row r="723" spans="1:7" x14ac:dyDescent="0.3">
      <c r="A723" s="5" t="s">
        <v>56</v>
      </c>
      <c r="B723" s="7">
        <v>0.01</v>
      </c>
      <c r="D723" s="1"/>
      <c r="E723" s="1"/>
    </row>
    <row r="724" spans="1:7" ht="18" x14ac:dyDescent="0.35">
      <c r="A724" s="21" t="s">
        <v>93</v>
      </c>
      <c r="B724" s="15">
        <f>180*PI()/180</f>
        <v>3.1415926535897931</v>
      </c>
      <c r="C724" t="s">
        <v>58</v>
      </c>
    </row>
    <row r="725" spans="1:7" x14ac:dyDescent="0.3">
      <c r="A725" s="5" t="s">
        <v>38</v>
      </c>
      <c r="B725" s="7">
        <v>0.01</v>
      </c>
      <c r="C725" t="s">
        <v>50</v>
      </c>
    </row>
    <row r="726" spans="1:7" x14ac:dyDescent="0.3">
      <c r="A726" s="23" t="s">
        <v>57</v>
      </c>
      <c r="B726" s="22">
        <v>16</v>
      </c>
      <c r="C726" t="s">
        <v>65</v>
      </c>
      <c r="G726" s="13"/>
    </row>
    <row r="728" spans="1:7" x14ac:dyDescent="0.3">
      <c r="A728" s="8" t="s">
        <v>57</v>
      </c>
      <c r="B728" s="2" t="s">
        <v>38</v>
      </c>
      <c r="C728" s="5" t="s">
        <v>39</v>
      </c>
      <c r="D728" s="5" t="s">
        <v>40</v>
      </c>
      <c r="E728" s="5" t="s">
        <v>41</v>
      </c>
      <c r="F728" s="8" t="s">
        <v>99</v>
      </c>
      <c r="G728" s="8" t="s">
        <v>96</v>
      </c>
    </row>
    <row r="729" spans="1:7" x14ac:dyDescent="0.3">
      <c r="A729" s="9">
        <f>+B726*0.0254</f>
        <v>0.40639999999999998</v>
      </c>
      <c r="B729" s="2">
        <f>+B725</f>
        <v>0.01</v>
      </c>
      <c r="C729" s="4">
        <f>+((B724-SIN(B724))*(A729)^2)/8</f>
        <v>6.4858557324479704E-2</v>
      </c>
      <c r="D729" s="2">
        <f>+B724*A729/2</f>
        <v>0.63837162720944596</v>
      </c>
      <c r="E729" s="2">
        <f>(1-SIN(B724)/B724)*(A729)/4</f>
        <v>0.1016</v>
      </c>
      <c r="F729" s="9">
        <f>C729*(E729^(2/3))*(B729^(1/2))/B723</f>
        <v>0.1412200701482251</v>
      </c>
      <c r="G729" s="20">
        <f>+B722/C729</f>
        <v>2.0254288675426246</v>
      </c>
    </row>
    <row r="731" spans="1:7" x14ac:dyDescent="0.3">
      <c r="C731" s="1" t="s">
        <v>100</v>
      </c>
      <c r="D731" s="1"/>
      <c r="F731" s="1" t="str">
        <f>+IF(B722&lt;F729,"CUMPLE","NO CUMPLE")</f>
        <v>CUMPLE</v>
      </c>
      <c r="G731" s="1"/>
    </row>
    <row r="732" spans="1:7" x14ac:dyDescent="0.3">
      <c r="C732" s="1" t="s">
        <v>98</v>
      </c>
      <c r="D732" s="1"/>
      <c r="F732" s="1" t="str">
        <f>+IF(G729&lt;5,"CUMPLE","Verificar Diametro")</f>
        <v>CUMPLE</v>
      </c>
    </row>
    <row r="733" spans="1:7" x14ac:dyDescent="0.3">
      <c r="C733" s="1" t="s">
        <v>69</v>
      </c>
      <c r="D733" s="1"/>
    </row>
    <row r="734" spans="1:7" x14ac:dyDescent="0.3">
      <c r="D734" s="27" t="s">
        <v>59</v>
      </c>
      <c r="E734" s="27">
        <f>IF(B722&lt;F729,A729/0.0254,"Modificar Diametro")</f>
        <v>16</v>
      </c>
      <c r="F734" s="27" t="s">
        <v>65</v>
      </c>
    </row>
  </sheetData>
  <mergeCells count="27">
    <mergeCell ref="B654:E654"/>
    <mergeCell ref="B697:E697"/>
    <mergeCell ref="B718:E718"/>
    <mergeCell ref="B498:E498"/>
    <mergeCell ref="B519:E519"/>
    <mergeCell ref="B543:E543"/>
    <mergeCell ref="B587:E587"/>
    <mergeCell ref="B610:E610"/>
    <mergeCell ref="B632:E632"/>
    <mergeCell ref="B452:E452"/>
    <mergeCell ref="B188:E188"/>
    <mergeCell ref="B212:E212"/>
    <mergeCell ref="B233:E233"/>
    <mergeCell ref="B255:E255"/>
    <mergeCell ref="B296:E296"/>
    <mergeCell ref="B317:E317"/>
    <mergeCell ref="B340:E340"/>
    <mergeCell ref="B361:E361"/>
    <mergeCell ref="B384:E384"/>
    <mergeCell ref="B407:E407"/>
    <mergeCell ref="B430:E430"/>
    <mergeCell ref="B166:E166"/>
    <mergeCell ref="B4:C4"/>
    <mergeCell ref="B76:E76"/>
    <mergeCell ref="B99:E99"/>
    <mergeCell ref="B120:E120"/>
    <mergeCell ref="B143:E143"/>
  </mergeCells>
  <conditionalFormatting sqref="I693">
    <cfRule type="cellIs" dxfId="105" priority="100" operator="lessThan">
      <formula>#REF!</formula>
    </cfRule>
  </conditionalFormatting>
  <conditionalFormatting sqref="I291:I292 I185 I605">
    <cfRule type="cellIs" dxfId="104" priority="98" operator="lessThan">
      <formula>$I$291</formula>
    </cfRule>
  </conditionalFormatting>
  <conditionalFormatting sqref="I290">
    <cfRule type="cellIs" dxfId="103" priority="96" operator="lessThan">
      <formula>$I$291</formula>
    </cfRule>
  </conditionalFormatting>
  <conditionalFormatting sqref="I312:I313">
    <cfRule type="cellIs" dxfId="102" priority="94" operator="lessThan">
      <formula>$I$291</formula>
    </cfRule>
  </conditionalFormatting>
  <conditionalFormatting sqref="I311">
    <cfRule type="cellIs" dxfId="101" priority="92" operator="lessThan">
      <formula>$I$291</formula>
    </cfRule>
  </conditionalFormatting>
  <conditionalFormatting sqref="I335:I336">
    <cfRule type="cellIs" dxfId="100" priority="90" operator="lessThan">
      <formula>$I$291</formula>
    </cfRule>
  </conditionalFormatting>
  <conditionalFormatting sqref="I334">
    <cfRule type="cellIs" dxfId="99" priority="88" operator="lessThan">
      <formula>$I$291</formula>
    </cfRule>
  </conditionalFormatting>
  <conditionalFormatting sqref="I379:I380">
    <cfRule type="cellIs" dxfId="98" priority="86" operator="lessThan">
      <formula>$I$291</formula>
    </cfRule>
  </conditionalFormatting>
  <conditionalFormatting sqref="I378">
    <cfRule type="cellIs" dxfId="97" priority="84" operator="lessThan">
      <formula>$I$291</formula>
    </cfRule>
  </conditionalFormatting>
  <conditionalFormatting sqref="I402:I403">
    <cfRule type="cellIs" dxfId="96" priority="82" operator="lessThan">
      <formula>$I$291</formula>
    </cfRule>
  </conditionalFormatting>
  <conditionalFormatting sqref="I401">
    <cfRule type="cellIs" dxfId="95" priority="80" operator="lessThan">
      <formula>$I$291</formula>
    </cfRule>
  </conditionalFormatting>
  <conditionalFormatting sqref="I207:I208">
    <cfRule type="cellIs" dxfId="94" priority="78" operator="lessThan">
      <formula>$I$291</formula>
    </cfRule>
  </conditionalFormatting>
  <conditionalFormatting sqref="I206">
    <cfRule type="cellIs" dxfId="93" priority="76" operator="lessThan">
      <formula>$I$291</formula>
    </cfRule>
  </conditionalFormatting>
  <conditionalFormatting sqref="I425:I426">
    <cfRule type="cellIs" dxfId="92" priority="74" operator="lessThan">
      <formula>$I$291</formula>
    </cfRule>
  </conditionalFormatting>
  <conditionalFormatting sqref="I424">
    <cfRule type="cellIs" dxfId="91" priority="72" operator="lessThan">
      <formula>$I$291</formula>
    </cfRule>
  </conditionalFormatting>
  <conditionalFormatting sqref="I470:I471">
    <cfRule type="cellIs" dxfId="90" priority="70" operator="lessThan">
      <formula>$I$291</formula>
    </cfRule>
  </conditionalFormatting>
  <conditionalFormatting sqref="I469">
    <cfRule type="cellIs" dxfId="89" priority="68" operator="lessThan">
      <formula>$I$291</formula>
    </cfRule>
  </conditionalFormatting>
  <conditionalFormatting sqref="I493:I494">
    <cfRule type="cellIs" dxfId="88" priority="66" operator="lessThan">
      <formula>$I$291</formula>
    </cfRule>
  </conditionalFormatting>
  <conditionalFormatting sqref="I492">
    <cfRule type="cellIs" dxfId="87" priority="64" operator="lessThan">
      <formula>$I$291</formula>
    </cfRule>
  </conditionalFormatting>
  <conditionalFormatting sqref="I604">
    <cfRule type="cellIs" dxfId="86" priority="62" operator="lessThan">
      <formula>$I$291</formula>
    </cfRule>
  </conditionalFormatting>
  <conditionalFormatting sqref="I692">
    <cfRule type="cellIs" dxfId="85" priority="60" operator="lessThan">
      <formula>$I$291</formula>
    </cfRule>
  </conditionalFormatting>
  <conditionalFormatting sqref="I691">
    <cfRule type="cellIs" dxfId="84" priority="58" operator="lessThan">
      <formula>$I$291</formula>
    </cfRule>
  </conditionalFormatting>
  <conditionalFormatting sqref="F353">
    <cfRule type="cellIs" dxfId="83" priority="56" operator="lessThan">
      <formula>$I$291</formula>
    </cfRule>
  </conditionalFormatting>
  <conditionalFormatting sqref="F354">
    <cfRule type="cellIs" dxfId="82" priority="54" operator="lessThan">
      <formula>$I$291</formula>
    </cfRule>
  </conditionalFormatting>
  <conditionalFormatting sqref="F226">
    <cfRule type="cellIs" dxfId="81" priority="52" operator="lessThan">
      <formula>$I$291</formula>
    </cfRule>
  </conditionalFormatting>
  <conditionalFormatting sqref="F227">
    <cfRule type="cellIs" dxfId="80" priority="50" operator="lessThan">
      <formula>$I$291</formula>
    </cfRule>
  </conditionalFormatting>
  <conditionalFormatting sqref="F444">
    <cfRule type="cellIs" dxfId="79" priority="48" operator="lessThan">
      <formula>$I$291</formula>
    </cfRule>
  </conditionalFormatting>
  <conditionalFormatting sqref="F445">
    <cfRule type="cellIs" dxfId="78" priority="46" operator="lessThan">
      <formula>$I$291</formula>
    </cfRule>
  </conditionalFormatting>
  <conditionalFormatting sqref="F511">
    <cfRule type="cellIs" dxfId="77" priority="44" operator="lessThan">
      <formula>$I$291</formula>
    </cfRule>
  </conditionalFormatting>
  <conditionalFormatting sqref="F512">
    <cfRule type="cellIs" dxfId="76" priority="42" operator="lessThan">
      <formula>$I$291</formula>
    </cfRule>
  </conditionalFormatting>
  <conditionalFormatting sqref="F535">
    <cfRule type="cellIs" dxfId="75" priority="40" operator="lessThan">
      <formula>$I$291</formula>
    </cfRule>
  </conditionalFormatting>
  <conditionalFormatting sqref="F536">
    <cfRule type="cellIs" dxfId="74" priority="38" operator="lessThan">
      <formula>$I$291</formula>
    </cfRule>
  </conditionalFormatting>
  <conditionalFormatting sqref="F557">
    <cfRule type="cellIs" dxfId="73" priority="36" operator="lessThan">
      <formula>$I$291</formula>
    </cfRule>
  </conditionalFormatting>
  <conditionalFormatting sqref="F558">
    <cfRule type="cellIs" dxfId="72" priority="34" operator="lessThan">
      <formula>$I$291</formula>
    </cfRule>
  </conditionalFormatting>
  <conditionalFormatting sqref="F624">
    <cfRule type="cellIs" dxfId="71" priority="32" operator="lessThan">
      <formula>$I$291</formula>
    </cfRule>
  </conditionalFormatting>
  <conditionalFormatting sqref="F625">
    <cfRule type="cellIs" dxfId="70" priority="30" operator="lessThan">
      <formula>$I$291</formula>
    </cfRule>
  </conditionalFormatting>
  <conditionalFormatting sqref="F646">
    <cfRule type="cellIs" dxfId="69" priority="28" operator="lessThan">
      <formula>$I$291</formula>
    </cfRule>
  </conditionalFormatting>
  <conditionalFormatting sqref="F647">
    <cfRule type="cellIs" dxfId="68" priority="26" operator="lessThan">
      <formula>$I$291</formula>
    </cfRule>
  </conditionalFormatting>
  <conditionalFormatting sqref="F667">
    <cfRule type="cellIs" dxfId="67" priority="24" operator="lessThan">
      <formula>$I$291</formula>
    </cfRule>
  </conditionalFormatting>
  <conditionalFormatting sqref="F668">
    <cfRule type="cellIs" dxfId="66" priority="22" operator="lessThan">
      <formula>$I$291</formula>
    </cfRule>
  </conditionalFormatting>
  <conditionalFormatting sqref="F710">
    <cfRule type="cellIs" dxfId="65" priority="20" operator="lessThan">
      <formula>$I$291</formula>
    </cfRule>
  </conditionalFormatting>
  <conditionalFormatting sqref="F711">
    <cfRule type="cellIs" dxfId="64" priority="18" operator="lessThan">
      <formula>$I$291</formula>
    </cfRule>
  </conditionalFormatting>
  <conditionalFormatting sqref="F731">
    <cfRule type="cellIs" dxfId="63" priority="16" operator="lessThan">
      <formula>$I$291</formula>
    </cfRule>
  </conditionalFormatting>
  <conditionalFormatting sqref="F732">
    <cfRule type="cellIs" dxfId="62" priority="14" operator="lessThan">
      <formula>$I$291</formula>
    </cfRule>
  </conditionalFormatting>
  <conditionalFormatting sqref="I116:J117 I137:J140 I112:J113 I179:J180 I160:J163 I51:J54 I93:J96 F112:F113 F179:F180 I71:J72 I184:J184 T160">
    <cfRule type="cellIs" dxfId="61" priority="101" operator="lessThan">
      <formula>$I$160</formula>
    </cfRule>
  </conditionalFormatting>
  <conditionalFormatting sqref="I251">
    <cfRule type="cellIs" dxfId="60" priority="12" operator="lessThan">
      <formula>$I$291</formula>
    </cfRule>
  </conditionalFormatting>
  <conditionalFormatting sqref="I250">
    <cfRule type="cellIs" dxfId="59" priority="10" operator="lessThan">
      <formula>$I$291</formula>
    </cfRule>
  </conditionalFormatting>
  <conditionalFormatting sqref="F268">
    <cfRule type="cellIs" dxfId="58" priority="8" operator="lessThan">
      <formula>$I$291</formula>
    </cfRule>
  </conditionalFormatting>
  <conditionalFormatting sqref="F269">
    <cfRule type="cellIs" dxfId="57" priority="6" operator="lessThan">
      <formula>$I$291</formula>
    </cfRule>
  </conditionalFormatting>
  <conditionalFormatting sqref="F579">
    <cfRule type="cellIs" dxfId="56" priority="4" operator="lessThan">
      <formula>$I$53</formula>
    </cfRule>
  </conditionalFormatting>
  <conditionalFormatting sqref="F580">
    <cfRule type="cellIs" dxfId="55" priority="2" operator="lessThan">
      <formula>$I$53</formula>
    </cfRule>
  </conditionalFormatting>
  <pageMargins left="0.7" right="0.7" top="0.75" bottom="0.75" header="0.3" footer="0.3"/>
  <pageSetup paperSize="9" scale="72" orientation="landscape" r:id="rId1"/>
  <rowBreaks count="8" manualBreakCount="8">
    <brk id="73" max="10" man="1"/>
    <brk id="117" max="10" man="1"/>
    <brk id="252" max="10" man="1"/>
    <brk id="293" max="10" man="1"/>
    <brk id="337" max="10" man="1"/>
    <brk id="381" max="10" man="1"/>
    <brk id="516" max="10" man="1"/>
    <brk id="694" max="10" man="1"/>
  </rowBreak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99" operator="containsText" id="{5AA66C41-ADB4-44BA-886D-21B13C611BD7}">
            <xm:f>NOT(ISERROR(SEARCH(#REF!,I693)))</xm:f>
            <xm:f>#REF!</xm:f>
            <x14:dxf>
              <fill>
                <patternFill>
                  <bgColor rgb="FF00B0F0"/>
                </patternFill>
              </fill>
            </x14:dxf>
          </x14:cfRule>
          <xm:sqref>I693</xm:sqref>
        </x14:conditionalFormatting>
        <x14:conditionalFormatting xmlns:xm="http://schemas.microsoft.com/office/excel/2006/main">
          <x14:cfRule type="containsText" priority="97" operator="containsText" id="{74EB41E2-D95E-4649-BE48-EC341FAA030D}">
            <xm:f>NOT(ISERROR(SEARCH($I$291,I185)))</xm:f>
            <xm:f>$I$291</xm:f>
            <x14:dxf>
              <fill>
                <patternFill>
                  <bgColor rgb="FF00B0F0"/>
                </patternFill>
              </fill>
            </x14:dxf>
          </x14:cfRule>
          <xm:sqref>I291:I292 I185 I605</xm:sqref>
        </x14:conditionalFormatting>
        <x14:conditionalFormatting xmlns:xm="http://schemas.microsoft.com/office/excel/2006/main">
          <x14:cfRule type="containsText" priority="95" operator="containsText" id="{E4547412-0B13-49C3-9438-1E978EA65D55}">
            <xm:f>NOT(ISERROR(SEARCH($I$291,I290)))</xm:f>
            <xm:f>$I$291</xm:f>
            <x14:dxf>
              <fill>
                <patternFill>
                  <bgColor rgb="FF00B0F0"/>
                </patternFill>
              </fill>
            </x14:dxf>
          </x14:cfRule>
          <xm:sqref>I290</xm:sqref>
        </x14:conditionalFormatting>
        <x14:conditionalFormatting xmlns:xm="http://schemas.microsoft.com/office/excel/2006/main">
          <x14:cfRule type="containsText" priority="93" operator="containsText" id="{E754C47B-ECCE-4DF0-9213-F12E2A571E69}">
            <xm:f>NOT(ISERROR(SEARCH($I$291,I312)))</xm:f>
            <xm:f>$I$291</xm:f>
            <x14:dxf>
              <fill>
                <patternFill>
                  <bgColor rgb="FF00B0F0"/>
                </patternFill>
              </fill>
            </x14:dxf>
          </x14:cfRule>
          <xm:sqref>I312:I313</xm:sqref>
        </x14:conditionalFormatting>
        <x14:conditionalFormatting xmlns:xm="http://schemas.microsoft.com/office/excel/2006/main">
          <x14:cfRule type="containsText" priority="91" operator="containsText" id="{36F4BF3B-2601-4CF1-AA89-99C66CF731FD}">
            <xm:f>NOT(ISERROR(SEARCH($I$291,I311)))</xm:f>
            <xm:f>$I$291</xm:f>
            <x14:dxf>
              <fill>
                <patternFill>
                  <bgColor rgb="FF00B0F0"/>
                </patternFill>
              </fill>
            </x14:dxf>
          </x14:cfRule>
          <xm:sqref>I311</xm:sqref>
        </x14:conditionalFormatting>
        <x14:conditionalFormatting xmlns:xm="http://schemas.microsoft.com/office/excel/2006/main">
          <x14:cfRule type="containsText" priority="89" operator="containsText" id="{92629862-7B3B-4A28-A270-09A982ACAC3E}">
            <xm:f>NOT(ISERROR(SEARCH($I$291,I335)))</xm:f>
            <xm:f>$I$291</xm:f>
            <x14:dxf>
              <fill>
                <patternFill>
                  <bgColor rgb="FF00B0F0"/>
                </patternFill>
              </fill>
            </x14:dxf>
          </x14:cfRule>
          <xm:sqref>I335:I336</xm:sqref>
        </x14:conditionalFormatting>
        <x14:conditionalFormatting xmlns:xm="http://schemas.microsoft.com/office/excel/2006/main">
          <x14:cfRule type="containsText" priority="87" operator="containsText" id="{5D8DD1B9-DBAF-4F28-A274-DEED07996888}">
            <xm:f>NOT(ISERROR(SEARCH($I$291,I334)))</xm:f>
            <xm:f>$I$291</xm:f>
            <x14:dxf>
              <fill>
                <patternFill>
                  <bgColor rgb="FF00B0F0"/>
                </patternFill>
              </fill>
            </x14:dxf>
          </x14:cfRule>
          <xm:sqref>I334</xm:sqref>
        </x14:conditionalFormatting>
        <x14:conditionalFormatting xmlns:xm="http://schemas.microsoft.com/office/excel/2006/main">
          <x14:cfRule type="containsText" priority="85" operator="containsText" id="{67375C86-C8F0-410C-AC37-97103E0C8535}">
            <xm:f>NOT(ISERROR(SEARCH($I$291,I379)))</xm:f>
            <xm:f>$I$291</xm:f>
            <x14:dxf>
              <fill>
                <patternFill>
                  <bgColor rgb="FF00B0F0"/>
                </patternFill>
              </fill>
            </x14:dxf>
          </x14:cfRule>
          <xm:sqref>I379:I380</xm:sqref>
        </x14:conditionalFormatting>
        <x14:conditionalFormatting xmlns:xm="http://schemas.microsoft.com/office/excel/2006/main">
          <x14:cfRule type="containsText" priority="83" operator="containsText" id="{D7BB06A2-F007-4FF5-AA83-6E4A264B4B23}">
            <xm:f>NOT(ISERROR(SEARCH($I$291,I378)))</xm:f>
            <xm:f>$I$291</xm:f>
            <x14:dxf>
              <fill>
                <patternFill>
                  <bgColor rgb="FF00B0F0"/>
                </patternFill>
              </fill>
            </x14:dxf>
          </x14:cfRule>
          <xm:sqref>I378</xm:sqref>
        </x14:conditionalFormatting>
        <x14:conditionalFormatting xmlns:xm="http://schemas.microsoft.com/office/excel/2006/main">
          <x14:cfRule type="containsText" priority="81" operator="containsText" id="{4DDCCF8F-C9C3-41B0-BCD8-684868C4EBBC}">
            <xm:f>NOT(ISERROR(SEARCH($I$291,I402)))</xm:f>
            <xm:f>$I$291</xm:f>
            <x14:dxf>
              <fill>
                <patternFill>
                  <bgColor rgb="FF00B0F0"/>
                </patternFill>
              </fill>
            </x14:dxf>
          </x14:cfRule>
          <xm:sqref>I402:I403</xm:sqref>
        </x14:conditionalFormatting>
        <x14:conditionalFormatting xmlns:xm="http://schemas.microsoft.com/office/excel/2006/main">
          <x14:cfRule type="containsText" priority="79" operator="containsText" id="{8C7E2803-93CF-4BE9-8F31-0E19BF5DCC09}">
            <xm:f>NOT(ISERROR(SEARCH($I$291,I401)))</xm:f>
            <xm:f>$I$291</xm:f>
            <x14:dxf>
              <fill>
                <patternFill>
                  <bgColor rgb="FF00B0F0"/>
                </patternFill>
              </fill>
            </x14:dxf>
          </x14:cfRule>
          <xm:sqref>I401</xm:sqref>
        </x14:conditionalFormatting>
        <x14:conditionalFormatting xmlns:xm="http://schemas.microsoft.com/office/excel/2006/main">
          <x14:cfRule type="containsText" priority="77" operator="containsText" id="{2BBD449E-814D-4A2D-B124-7A056B33BC30}">
            <xm:f>NOT(ISERROR(SEARCH($I$291,I207)))</xm:f>
            <xm:f>$I$291</xm:f>
            <x14:dxf>
              <fill>
                <patternFill>
                  <bgColor rgb="FF00B0F0"/>
                </patternFill>
              </fill>
            </x14:dxf>
          </x14:cfRule>
          <xm:sqref>I207:I208</xm:sqref>
        </x14:conditionalFormatting>
        <x14:conditionalFormatting xmlns:xm="http://schemas.microsoft.com/office/excel/2006/main">
          <x14:cfRule type="containsText" priority="75" operator="containsText" id="{44F9133B-EF4F-4319-85A0-E140BDCD24DB}">
            <xm:f>NOT(ISERROR(SEARCH($I$291,I206)))</xm:f>
            <xm:f>$I$291</xm:f>
            <x14:dxf>
              <fill>
                <patternFill>
                  <bgColor rgb="FF00B0F0"/>
                </patternFill>
              </fill>
            </x14:dxf>
          </x14:cfRule>
          <xm:sqref>I206</xm:sqref>
        </x14:conditionalFormatting>
        <x14:conditionalFormatting xmlns:xm="http://schemas.microsoft.com/office/excel/2006/main">
          <x14:cfRule type="containsText" priority="73" operator="containsText" id="{56128B5A-32A0-4693-84EB-B8C121E15C0B}">
            <xm:f>NOT(ISERROR(SEARCH($I$291,I425)))</xm:f>
            <xm:f>$I$291</xm:f>
            <x14:dxf>
              <fill>
                <patternFill>
                  <bgColor rgb="FF00B0F0"/>
                </patternFill>
              </fill>
            </x14:dxf>
          </x14:cfRule>
          <xm:sqref>I425:I426</xm:sqref>
        </x14:conditionalFormatting>
        <x14:conditionalFormatting xmlns:xm="http://schemas.microsoft.com/office/excel/2006/main">
          <x14:cfRule type="containsText" priority="71" operator="containsText" id="{E6C40F86-2C50-4494-8822-D0BFA5ED07DF}">
            <xm:f>NOT(ISERROR(SEARCH($I$291,I424)))</xm:f>
            <xm:f>$I$291</xm:f>
            <x14:dxf>
              <fill>
                <patternFill>
                  <bgColor rgb="FF00B0F0"/>
                </patternFill>
              </fill>
            </x14:dxf>
          </x14:cfRule>
          <xm:sqref>I424</xm:sqref>
        </x14:conditionalFormatting>
        <x14:conditionalFormatting xmlns:xm="http://schemas.microsoft.com/office/excel/2006/main">
          <x14:cfRule type="containsText" priority="69" operator="containsText" id="{3FFE8CF4-7697-4BE9-882B-939943DE3C6E}">
            <xm:f>NOT(ISERROR(SEARCH($I$291,I470)))</xm:f>
            <xm:f>$I$291</xm:f>
            <x14:dxf>
              <fill>
                <patternFill>
                  <bgColor rgb="FF00B0F0"/>
                </patternFill>
              </fill>
            </x14:dxf>
          </x14:cfRule>
          <xm:sqref>I470:I471</xm:sqref>
        </x14:conditionalFormatting>
        <x14:conditionalFormatting xmlns:xm="http://schemas.microsoft.com/office/excel/2006/main">
          <x14:cfRule type="containsText" priority="67" operator="containsText" id="{0D6F22D3-475D-4BA0-89E6-F8AB32FECFE3}">
            <xm:f>NOT(ISERROR(SEARCH($I$291,I469)))</xm:f>
            <xm:f>$I$291</xm:f>
            <x14:dxf>
              <fill>
                <patternFill>
                  <bgColor rgb="FF00B0F0"/>
                </patternFill>
              </fill>
            </x14:dxf>
          </x14:cfRule>
          <xm:sqref>I469</xm:sqref>
        </x14:conditionalFormatting>
        <x14:conditionalFormatting xmlns:xm="http://schemas.microsoft.com/office/excel/2006/main">
          <x14:cfRule type="containsText" priority="65" operator="containsText" id="{320938F3-C198-4070-AD07-BEE4C5B5EEA7}">
            <xm:f>NOT(ISERROR(SEARCH($I$291,I493)))</xm:f>
            <xm:f>$I$291</xm:f>
            <x14:dxf>
              <fill>
                <patternFill>
                  <bgColor rgb="FF00B0F0"/>
                </patternFill>
              </fill>
            </x14:dxf>
          </x14:cfRule>
          <xm:sqref>I493:I494</xm:sqref>
        </x14:conditionalFormatting>
        <x14:conditionalFormatting xmlns:xm="http://schemas.microsoft.com/office/excel/2006/main">
          <x14:cfRule type="containsText" priority="63" operator="containsText" id="{9CEF4B8B-B34A-4EB9-90B6-B8BAF1E7556F}">
            <xm:f>NOT(ISERROR(SEARCH($I$291,I492)))</xm:f>
            <xm:f>$I$291</xm:f>
            <x14:dxf>
              <fill>
                <patternFill>
                  <bgColor rgb="FF00B0F0"/>
                </patternFill>
              </fill>
            </x14:dxf>
          </x14:cfRule>
          <xm:sqref>I492</xm:sqref>
        </x14:conditionalFormatting>
        <x14:conditionalFormatting xmlns:xm="http://schemas.microsoft.com/office/excel/2006/main">
          <x14:cfRule type="containsText" priority="61" operator="containsText" id="{F78C6376-C283-4F54-888E-75F897801B6D}">
            <xm:f>NOT(ISERROR(SEARCH($I$291,I604)))</xm:f>
            <xm:f>$I$291</xm:f>
            <x14:dxf>
              <fill>
                <patternFill>
                  <bgColor rgb="FF00B0F0"/>
                </patternFill>
              </fill>
            </x14:dxf>
          </x14:cfRule>
          <xm:sqref>I604</xm:sqref>
        </x14:conditionalFormatting>
        <x14:conditionalFormatting xmlns:xm="http://schemas.microsoft.com/office/excel/2006/main">
          <x14:cfRule type="containsText" priority="57" operator="containsText" id="{EB1C8865-0C82-488D-8C1D-86C107E95665}">
            <xm:f>NOT(ISERROR(SEARCH($I$291,I691)))</xm:f>
            <xm:f>$I$291</xm:f>
            <x14:dxf>
              <fill>
                <patternFill>
                  <bgColor rgb="FF00B0F0"/>
                </patternFill>
              </fill>
            </x14:dxf>
          </x14:cfRule>
          <xm:sqref>I691</xm:sqref>
        </x14:conditionalFormatting>
        <x14:conditionalFormatting xmlns:xm="http://schemas.microsoft.com/office/excel/2006/main">
          <x14:cfRule type="containsText" priority="53" operator="containsText" id="{1F068850-EEEF-4FAF-81A5-918D573CECAC}">
            <xm:f>NOT(ISERROR(SEARCH($I$291,F354)))</xm:f>
            <xm:f>$I$291</xm:f>
            <x14:dxf>
              <fill>
                <patternFill>
                  <bgColor rgb="FF00B0F0"/>
                </patternFill>
              </fill>
            </x14:dxf>
          </x14:cfRule>
          <xm:sqref>F354</xm:sqref>
        </x14:conditionalFormatting>
        <x14:conditionalFormatting xmlns:xm="http://schemas.microsoft.com/office/excel/2006/main">
          <x14:cfRule type="containsText" priority="59" operator="containsText" id="{CC757545-CA9A-461D-A0A7-EEDB89CAB14C}">
            <xm:f>NOT(ISERROR(SEARCH($I$291,I692)))</xm:f>
            <xm:f>$I$291</xm:f>
            <x14:dxf>
              <fill>
                <patternFill>
                  <bgColor rgb="FF00B0F0"/>
                </patternFill>
              </fill>
            </x14:dxf>
          </x14:cfRule>
          <xm:sqref>I692</xm:sqref>
        </x14:conditionalFormatting>
        <x14:conditionalFormatting xmlns:xm="http://schemas.microsoft.com/office/excel/2006/main">
          <x14:cfRule type="containsText" priority="33" operator="containsText" id="{AC1F6A28-9DB0-4F73-951D-079573FADDDF}">
            <xm:f>NOT(ISERROR(SEARCH($I$291,F558)))</xm:f>
            <xm:f>$I$291</xm:f>
            <x14:dxf>
              <fill>
                <patternFill>
                  <bgColor rgb="FF00B0F0"/>
                </patternFill>
              </fill>
            </x14:dxf>
          </x14:cfRule>
          <xm:sqref>F558</xm:sqref>
        </x14:conditionalFormatting>
        <x14:conditionalFormatting xmlns:xm="http://schemas.microsoft.com/office/excel/2006/main">
          <x14:cfRule type="containsText" priority="55" operator="containsText" id="{66FEFA13-2DC7-418E-880E-BA2306BF2D31}">
            <xm:f>NOT(ISERROR(SEARCH($I$291,F353)))</xm:f>
            <xm:f>$I$291</xm:f>
            <x14:dxf>
              <fill>
                <patternFill>
                  <bgColor rgb="FF00B0F0"/>
                </patternFill>
              </fill>
            </x14:dxf>
          </x14:cfRule>
          <xm:sqref>F353</xm:sqref>
        </x14:conditionalFormatting>
        <x14:conditionalFormatting xmlns:xm="http://schemas.microsoft.com/office/excel/2006/main">
          <x14:cfRule type="containsText" priority="29" operator="containsText" id="{9637C3C7-EF2D-4D46-A1C0-DC4FF7CAF89D}">
            <xm:f>NOT(ISERROR(SEARCH($I$291,F625)))</xm:f>
            <xm:f>$I$291</xm:f>
            <x14:dxf>
              <fill>
                <patternFill>
                  <bgColor rgb="FF00B0F0"/>
                </patternFill>
              </fill>
            </x14:dxf>
          </x14:cfRule>
          <xm:sqref>F625</xm:sqref>
        </x14:conditionalFormatting>
        <x14:conditionalFormatting xmlns:xm="http://schemas.microsoft.com/office/excel/2006/main">
          <x14:cfRule type="containsText" priority="49" operator="containsText" id="{E689B2F6-6078-4C0B-9CFB-B4B7286F9929}">
            <xm:f>NOT(ISERROR(SEARCH($I$291,F227)))</xm:f>
            <xm:f>$I$291</xm:f>
            <x14:dxf>
              <fill>
                <patternFill>
                  <bgColor rgb="FF00B0F0"/>
                </patternFill>
              </fill>
            </x14:dxf>
          </x14:cfRule>
          <xm:sqref>F227</xm:sqref>
        </x14:conditionalFormatting>
        <x14:conditionalFormatting xmlns:xm="http://schemas.microsoft.com/office/excel/2006/main">
          <x14:cfRule type="containsText" priority="51" operator="containsText" id="{91EA8254-908F-439D-A780-0A4E19733428}">
            <xm:f>NOT(ISERROR(SEARCH($I$291,F226)))</xm:f>
            <xm:f>$I$291</xm:f>
            <x14:dxf>
              <fill>
                <patternFill>
                  <bgColor rgb="FF00B0F0"/>
                </patternFill>
              </fill>
            </x14:dxf>
          </x14:cfRule>
          <xm:sqref>F226</xm:sqref>
        </x14:conditionalFormatting>
        <x14:conditionalFormatting xmlns:xm="http://schemas.microsoft.com/office/excel/2006/main">
          <x14:cfRule type="containsText" priority="45" operator="containsText" id="{FBED57FA-0781-47DA-9A0B-9C09CEC4DAC6}">
            <xm:f>NOT(ISERROR(SEARCH($I$291,F445)))</xm:f>
            <xm:f>$I$291</xm:f>
            <x14:dxf>
              <fill>
                <patternFill>
                  <bgColor rgb="FF00B0F0"/>
                </patternFill>
              </fill>
            </x14:dxf>
          </x14:cfRule>
          <xm:sqref>F445</xm:sqref>
        </x14:conditionalFormatting>
        <x14:conditionalFormatting xmlns:xm="http://schemas.microsoft.com/office/excel/2006/main">
          <x14:cfRule type="containsText" priority="47" operator="containsText" id="{86F45786-A130-49FC-B343-8C64255EC014}">
            <xm:f>NOT(ISERROR(SEARCH($I$291,F444)))</xm:f>
            <xm:f>$I$291</xm:f>
            <x14:dxf>
              <fill>
                <patternFill>
                  <bgColor rgb="FF00B0F0"/>
                </patternFill>
              </fill>
            </x14:dxf>
          </x14:cfRule>
          <xm:sqref>F444</xm:sqref>
        </x14:conditionalFormatting>
        <x14:conditionalFormatting xmlns:xm="http://schemas.microsoft.com/office/excel/2006/main">
          <x14:cfRule type="containsText" priority="41" operator="containsText" id="{EACD88F6-F873-4E8A-9819-AD29690C251A}">
            <xm:f>NOT(ISERROR(SEARCH($I$291,F512)))</xm:f>
            <xm:f>$I$291</xm:f>
            <x14:dxf>
              <fill>
                <patternFill>
                  <bgColor rgb="FF00B0F0"/>
                </patternFill>
              </fill>
            </x14:dxf>
          </x14:cfRule>
          <xm:sqref>F512</xm:sqref>
        </x14:conditionalFormatting>
        <x14:conditionalFormatting xmlns:xm="http://schemas.microsoft.com/office/excel/2006/main">
          <x14:cfRule type="containsText" priority="43" operator="containsText" id="{123B736F-1724-4E4D-9963-53CFE7663959}">
            <xm:f>NOT(ISERROR(SEARCH($I$291,F511)))</xm:f>
            <xm:f>$I$291</xm:f>
            <x14:dxf>
              <fill>
                <patternFill>
                  <bgColor rgb="FF00B0F0"/>
                </patternFill>
              </fill>
            </x14:dxf>
          </x14:cfRule>
          <xm:sqref>F511</xm:sqref>
        </x14:conditionalFormatting>
        <x14:conditionalFormatting xmlns:xm="http://schemas.microsoft.com/office/excel/2006/main">
          <x14:cfRule type="containsText" priority="37" operator="containsText" id="{1DFAFF2D-0615-4AF2-A341-EB23AFD0EEBE}">
            <xm:f>NOT(ISERROR(SEARCH($I$291,F536)))</xm:f>
            <xm:f>$I$291</xm:f>
            <x14:dxf>
              <fill>
                <patternFill>
                  <bgColor rgb="FF00B0F0"/>
                </patternFill>
              </fill>
            </x14:dxf>
          </x14:cfRule>
          <xm:sqref>F536</xm:sqref>
        </x14:conditionalFormatting>
        <x14:conditionalFormatting xmlns:xm="http://schemas.microsoft.com/office/excel/2006/main">
          <x14:cfRule type="containsText" priority="39" operator="containsText" id="{2CDFAA33-64D3-469B-B5A6-F9D56C26EE09}">
            <xm:f>NOT(ISERROR(SEARCH($I$291,F535)))</xm:f>
            <xm:f>$I$291</xm:f>
            <x14:dxf>
              <fill>
                <patternFill>
                  <bgColor rgb="FF00B0F0"/>
                </patternFill>
              </fill>
            </x14:dxf>
          </x14:cfRule>
          <xm:sqref>F535</xm:sqref>
        </x14:conditionalFormatting>
        <x14:conditionalFormatting xmlns:xm="http://schemas.microsoft.com/office/excel/2006/main">
          <x14:cfRule type="containsText" priority="25" operator="containsText" id="{C80CDCDB-AD4E-4729-8BE7-A52E0E1C9A90}">
            <xm:f>NOT(ISERROR(SEARCH($I$291,F647)))</xm:f>
            <xm:f>$I$291</xm:f>
            <x14:dxf>
              <fill>
                <patternFill>
                  <bgColor rgb="FF00B0F0"/>
                </patternFill>
              </fill>
            </x14:dxf>
          </x14:cfRule>
          <xm:sqref>F647</xm:sqref>
        </x14:conditionalFormatting>
        <x14:conditionalFormatting xmlns:xm="http://schemas.microsoft.com/office/excel/2006/main">
          <x14:cfRule type="containsText" priority="35" operator="containsText" id="{FDAA5348-3452-465A-99BF-FC00B70DAFF2}">
            <xm:f>NOT(ISERROR(SEARCH($I$291,F557)))</xm:f>
            <xm:f>$I$291</xm:f>
            <x14:dxf>
              <fill>
                <patternFill>
                  <bgColor rgb="FF00B0F0"/>
                </patternFill>
              </fill>
            </x14:dxf>
          </x14:cfRule>
          <xm:sqref>F557</xm:sqref>
        </x14:conditionalFormatting>
        <x14:conditionalFormatting xmlns:xm="http://schemas.microsoft.com/office/excel/2006/main">
          <x14:cfRule type="containsText" priority="13" operator="containsText" id="{3730C1EF-1395-424B-AA10-544E26308D03}">
            <xm:f>NOT(ISERROR(SEARCH($I$291,F732)))</xm:f>
            <xm:f>$I$291</xm:f>
            <x14:dxf>
              <fill>
                <patternFill>
                  <bgColor rgb="FF00B0F0"/>
                </patternFill>
              </fill>
            </x14:dxf>
          </x14:cfRule>
          <xm:sqref>F732</xm:sqref>
        </x14:conditionalFormatting>
        <x14:conditionalFormatting xmlns:xm="http://schemas.microsoft.com/office/excel/2006/main">
          <x14:cfRule type="containsText" priority="31" operator="containsText" id="{0F3CCFC0-17BC-4998-96FC-250C4BE000BA}">
            <xm:f>NOT(ISERROR(SEARCH($I$291,F624)))</xm:f>
            <xm:f>$I$291</xm:f>
            <x14:dxf>
              <fill>
                <patternFill>
                  <bgColor rgb="FF00B0F0"/>
                </patternFill>
              </fill>
            </x14:dxf>
          </x14:cfRule>
          <xm:sqref>F624</xm:sqref>
        </x14:conditionalFormatting>
        <x14:conditionalFormatting xmlns:xm="http://schemas.microsoft.com/office/excel/2006/main">
          <x14:cfRule type="containsText" priority="27" operator="containsText" id="{A72540C1-D2D3-41E8-94E1-DDC49D003FFA}">
            <xm:f>NOT(ISERROR(SEARCH($I$291,F646)))</xm:f>
            <xm:f>$I$291</xm:f>
            <x14:dxf>
              <fill>
                <patternFill>
                  <bgColor rgb="FF00B0F0"/>
                </patternFill>
              </fill>
            </x14:dxf>
          </x14:cfRule>
          <xm:sqref>F646</xm:sqref>
        </x14:conditionalFormatting>
        <x14:conditionalFormatting xmlns:xm="http://schemas.microsoft.com/office/excel/2006/main">
          <x14:cfRule type="containsText" priority="21" operator="containsText" id="{A1BF6C8E-D59E-458C-A8EB-90A836ADEBCE}">
            <xm:f>NOT(ISERROR(SEARCH($I$291,F668)))</xm:f>
            <xm:f>$I$291</xm:f>
            <x14:dxf>
              <fill>
                <patternFill>
                  <bgColor rgb="FF00B0F0"/>
                </patternFill>
              </fill>
            </x14:dxf>
          </x14:cfRule>
          <xm:sqref>F668</xm:sqref>
        </x14:conditionalFormatting>
        <x14:conditionalFormatting xmlns:xm="http://schemas.microsoft.com/office/excel/2006/main">
          <x14:cfRule type="containsText" priority="23" operator="containsText" id="{00E62C2E-DD6E-44DB-BC39-501CA69DD4A8}">
            <xm:f>NOT(ISERROR(SEARCH($I$291,F667)))</xm:f>
            <xm:f>$I$291</xm:f>
            <x14:dxf>
              <fill>
                <patternFill>
                  <bgColor rgb="FF00B0F0"/>
                </patternFill>
              </fill>
            </x14:dxf>
          </x14:cfRule>
          <xm:sqref>F667</xm:sqref>
        </x14:conditionalFormatting>
        <x14:conditionalFormatting xmlns:xm="http://schemas.microsoft.com/office/excel/2006/main">
          <x14:cfRule type="containsText" priority="17" operator="containsText" id="{B8B64DFD-4BC0-4D6A-9824-07AC475ADC71}">
            <xm:f>NOT(ISERROR(SEARCH($I$291,F711)))</xm:f>
            <xm:f>$I$291</xm:f>
            <x14:dxf>
              <fill>
                <patternFill>
                  <bgColor rgb="FF00B0F0"/>
                </patternFill>
              </fill>
            </x14:dxf>
          </x14:cfRule>
          <xm:sqref>F711</xm:sqref>
        </x14:conditionalFormatting>
        <x14:conditionalFormatting xmlns:xm="http://schemas.microsoft.com/office/excel/2006/main">
          <x14:cfRule type="containsText" priority="19" operator="containsText" id="{B1D48CE9-1579-4139-A46C-D7C019B68BDD}">
            <xm:f>NOT(ISERROR(SEARCH($I$291,F710)))</xm:f>
            <xm:f>$I$291</xm:f>
            <x14:dxf>
              <fill>
                <patternFill>
                  <bgColor rgb="FF00B0F0"/>
                </patternFill>
              </fill>
            </x14:dxf>
          </x14:cfRule>
          <xm:sqref>F710</xm:sqref>
        </x14:conditionalFormatting>
        <x14:conditionalFormatting xmlns:xm="http://schemas.microsoft.com/office/excel/2006/main">
          <x14:cfRule type="containsText" priority="15" operator="containsText" id="{3AFF731D-5D68-4ECE-98E3-335EB1E9B3B8}">
            <xm:f>NOT(ISERROR(SEARCH($I$291,F731)))</xm:f>
            <xm:f>$I$291</xm:f>
            <x14:dxf>
              <fill>
                <patternFill>
                  <bgColor rgb="FF00B0F0"/>
                </patternFill>
              </fill>
            </x14:dxf>
          </x14:cfRule>
          <xm:sqref>F731</xm:sqref>
        </x14:conditionalFormatting>
        <x14:conditionalFormatting xmlns:xm="http://schemas.microsoft.com/office/excel/2006/main">
          <x14:cfRule type="containsText" priority="102" operator="containsText" id="{814040AD-06FC-4ADF-AAE2-7F19DEB2DE80}">
            <xm:f>NOT(ISERROR(SEARCH($I$160,F46)))</xm:f>
            <xm:f>$I$160</xm:f>
            <x14:dxf>
              <fill>
                <patternFill>
                  <bgColor rgb="FF00B0F0"/>
                </patternFill>
              </fill>
            </x14:dxf>
          </x14:cfRule>
          <xm:sqref>I116:J117 I137:J140 I112:J113 I179:J180 I160:J163 I51:J54 I93:J96 F112:F113 F179:F180 I71:J72 I184:J184 T160</xm:sqref>
        </x14:conditionalFormatting>
        <x14:conditionalFormatting xmlns:xm="http://schemas.microsoft.com/office/excel/2006/main">
          <x14:cfRule type="containsText" priority="11" operator="containsText" id="{401A4ACB-A1BD-4867-B194-2A9CF197CB8C}">
            <xm:f>NOT(ISERROR(SEARCH($I$291,I251)))</xm:f>
            <xm:f>$I$291</xm:f>
            <x14:dxf>
              <fill>
                <patternFill>
                  <bgColor rgb="FF00B0F0"/>
                </patternFill>
              </fill>
            </x14:dxf>
          </x14:cfRule>
          <xm:sqref>I251</xm:sqref>
        </x14:conditionalFormatting>
        <x14:conditionalFormatting xmlns:xm="http://schemas.microsoft.com/office/excel/2006/main">
          <x14:cfRule type="containsText" priority="9" operator="containsText" id="{9B84246B-8B7A-451E-B614-74322F041BE7}">
            <xm:f>NOT(ISERROR(SEARCH($I$291,I250)))</xm:f>
            <xm:f>$I$291</xm:f>
            <x14:dxf>
              <fill>
                <patternFill>
                  <bgColor rgb="FF00B0F0"/>
                </patternFill>
              </fill>
            </x14:dxf>
          </x14:cfRule>
          <xm:sqref>I250</xm:sqref>
        </x14:conditionalFormatting>
        <x14:conditionalFormatting xmlns:xm="http://schemas.microsoft.com/office/excel/2006/main">
          <x14:cfRule type="containsText" priority="5" operator="containsText" id="{AE653EEB-D37F-4A17-BB9E-1744CC7772BD}">
            <xm:f>NOT(ISERROR(SEARCH($I$291,F269)))</xm:f>
            <xm:f>$I$291</xm:f>
            <x14:dxf>
              <fill>
                <patternFill>
                  <bgColor rgb="FF00B0F0"/>
                </patternFill>
              </fill>
            </x14:dxf>
          </x14:cfRule>
          <xm:sqref>F269</xm:sqref>
        </x14:conditionalFormatting>
        <x14:conditionalFormatting xmlns:xm="http://schemas.microsoft.com/office/excel/2006/main">
          <x14:cfRule type="containsText" priority="7" operator="containsText" id="{FDED3D3A-ED1D-45A5-84EB-591A491BA844}">
            <xm:f>NOT(ISERROR(SEARCH($I$291,F268)))</xm:f>
            <xm:f>$I$291</xm:f>
            <x14:dxf>
              <fill>
                <patternFill>
                  <bgColor rgb="FF00B0F0"/>
                </patternFill>
              </fill>
            </x14:dxf>
          </x14:cfRule>
          <xm:sqref>F268</xm:sqref>
        </x14:conditionalFormatting>
        <x14:conditionalFormatting xmlns:xm="http://schemas.microsoft.com/office/excel/2006/main">
          <x14:cfRule type="containsText" priority="1" operator="containsText" id="{0653AD8E-0F7A-4F7C-82F9-9B9636D0AD34}">
            <xm:f>NOT(ISERROR(SEARCH($I$53,F580)))</xm:f>
            <xm:f>$I$53</xm:f>
            <x14:dxf>
              <fill>
                <patternFill>
                  <bgColor rgb="FF00B0F0"/>
                </patternFill>
              </fill>
            </x14:dxf>
          </x14:cfRule>
          <xm:sqref>F580</xm:sqref>
        </x14:conditionalFormatting>
        <x14:conditionalFormatting xmlns:xm="http://schemas.microsoft.com/office/excel/2006/main">
          <x14:cfRule type="containsText" priority="3" operator="containsText" id="{D43BB663-E210-4546-95E8-B5EDDDDE3C2F}">
            <xm:f>NOT(ISERROR(SEARCH($I$53,F579)))</xm:f>
            <xm:f>$I$53</xm:f>
            <x14:dxf>
              <fill>
                <patternFill>
                  <bgColor rgb="FF00B0F0"/>
                </patternFill>
              </fill>
            </x14:dxf>
          </x14:cfRule>
          <xm:sqref>F579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31A684-9BE2-44DB-A664-851ECFBDAAAF}">
  <dimension ref="A1:G19"/>
  <sheetViews>
    <sheetView workbookViewId="0">
      <selection activeCell="K19" sqref="K19"/>
    </sheetView>
  </sheetViews>
  <sheetFormatPr baseColWidth="10" defaultRowHeight="14.4" x14ac:dyDescent="0.3"/>
  <cols>
    <col min="1" max="1" width="15.44140625" customWidth="1"/>
  </cols>
  <sheetData>
    <row r="1" spans="1:7" ht="18" x14ac:dyDescent="0.35">
      <c r="A1" s="10" t="s">
        <v>134</v>
      </c>
    </row>
    <row r="2" spans="1:7" x14ac:dyDescent="0.3">
      <c r="B2" s="2" t="s">
        <v>20</v>
      </c>
      <c r="C2" s="2" t="s">
        <v>13</v>
      </c>
      <c r="D2" s="2" t="s">
        <v>17</v>
      </c>
      <c r="E2" s="2" t="s">
        <v>22</v>
      </c>
      <c r="F2" s="2" t="s">
        <v>18</v>
      </c>
      <c r="G2" s="2" t="s">
        <v>19</v>
      </c>
    </row>
    <row r="3" spans="1:7" x14ac:dyDescent="0.3">
      <c r="A3" s="7" t="s">
        <v>12</v>
      </c>
      <c r="B3" s="2">
        <f>76.27/10000</f>
        <v>7.6269999999999992E-3</v>
      </c>
      <c r="C3" s="2">
        <v>0.97</v>
      </c>
      <c r="D3" s="2">
        <v>100</v>
      </c>
      <c r="E3" s="2">
        <v>1</v>
      </c>
      <c r="F3" s="6">
        <f>+B3*C3*D3/360</f>
        <v>2.0550527777777774E-3</v>
      </c>
      <c r="G3" s="6">
        <f>+F3/E3</f>
        <v>2.0550527777777774E-3</v>
      </c>
    </row>
    <row r="4" spans="1:7" x14ac:dyDescent="0.3">
      <c r="A4" s="3"/>
      <c r="B4" s="11"/>
      <c r="C4" s="11"/>
      <c r="D4" s="11"/>
      <c r="E4" s="25"/>
      <c r="F4" s="43"/>
      <c r="G4" s="43"/>
    </row>
    <row r="5" spans="1:7" x14ac:dyDescent="0.3">
      <c r="F5" s="2" t="s">
        <v>43</v>
      </c>
      <c r="G5" s="6">
        <f>+F3</f>
        <v>2.0550527777777774E-3</v>
      </c>
    </row>
    <row r="6" spans="1:7" x14ac:dyDescent="0.3">
      <c r="A6" s="1" t="s">
        <v>71</v>
      </c>
      <c r="B6" s="1"/>
      <c r="C6" s="1"/>
    </row>
    <row r="7" spans="1:7" x14ac:dyDescent="0.3">
      <c r="A7" s="5" t="s">
        <v>66</v>
      </c>
      <c r="B7" s="14">
        <f>+G5</f>
        <v>2.0550527777777774E-3</v>
      </c>
      <c r="C7" t="s">
        <v>15</v>
      </c>
    </row>
    <row r="8" spans="1:7" x14ac:dyDescent="0.3">
      <c r="A8" s="5" t="s">
        <v>56</v>
      </c>
      <c r="B8" s="7">
        <v>0.01</v>
      </c>
    </row>
    <row r="9" spans="1:7" ht="18" x14ac:dyDescent="0.35">
      <c r="A9" s="21" t="s">
        <v>93</v>
      </c>
      <c r="B9" s="15">
        <f>300*PI()/180</f>
        <v>5.2359877559829888</v>
      </c>
      <c r="C9" t="s">
        <v>58</v>
      </c>
    </row>
    <row r="10" spans="1:7" x14ac:dyDescent="0.3">
      <c r="A10" s="5" t="s">
        <v>38</v>
      </c>
      <c r="B10" s="7">
        <v>0.01</v>
      </c>
      <c r="C10" t="s">
        <v>50</v>
      </c>
    </row>
    <row r="11" spans="1:7" x14ac:dyDescent="0.3">
      <c r="A11" s="23" t="s">
        <v>57</v>
      </c>
      <c r="B11" s="22">
        <v>3</v>
      </c>
      <c r="C11" t="s">
        <v>65</v>
      </c>
      <c r="G11" s="13"/>
    </row>
    <row r="13" spans="1:7" x14ac:dyDescent="0.3">
      <c r="A13" s="8" t="s">
        <v>57</v>
      </c>
      <c r="B13" s="2" t="s">
        <v>38</v>
      </c>
      <c r="C13" s="5" t="s">
        <v>39</v>
      </c>
      <c r="D13" s="5" t="s">
        <v>40</v>
      </c>
      <c r="E13" s="5" t="s">
        <v>41</v>
      </c>
      <c r="F13" s="8" t="s">
        <v>67</v>
      </c>
      <c r="G13" s="8" t="s">
        <v>96</v>
      </c>
    </row>
    <row r="14" spans="1:7" x14ac:dyDescent="0.3">
      <c r="A14" s="9">
        <f>+B11*0.0254</f>
        <v>7.619999999999999E-2</v>
      </c>
      <c r="B14" s="2">
        <f>+B10</f>
        <v>0.01</v>
      </c>
      <c r="C14" s="4">
        <f>+((B9-SIN(B9))*(A14)^2)/8</f>
        <v>4.4288716614249964E-3</v>
      </c>
      <c r="D14" s="2">
        <f>+B9*A14/2</f>
        <v>0.19949113350295183</v>
      </c>
      <c r="E14" s="2">
        <f>(1-SIN(B9)/B9)*(A14)/4</f>
        <v>2.2200844637335539E-2</v>
      </c>
      <c r="F14" s="9">
        <f>C14*(E14^(2/3))*(B14^(1/2))/B8</f>
        <v>3.4984265533910121E-3</v>
      </c>
      <c r="G14" s="20">
        <f>+B7/C14</f>
        <v>0.46401271810991268</v>
      </c>
    </row>
    <row r="16" spans="1:7" x14ac:dyDescent="0.3">
      <c r="C16" s="1" t="s">
        <v>70</v>
      </c>
      <c r="D16" s="1"/>
      <c r="F16" s="1" t="str">
        <f>+IF(B7&lt;F14,"CUMPLE","NO CUMPLE")</f>
        <v>CUMPLE</v>
      </c>
      <c r="G16" s="1"/>
    </row>
    <row r="17" spans="3:7" x14ac:dyDescent="0.3">
      <c r="C17" s="1" t="s">
        <v>98</v>
      </c>
      <c r="D17" s="1"/>
      <c r="F17" s="1" t="str">
        <f>+IF(G14&lt;5,"CUMPLE","Verificar Diametro")</f>
        <v>CUMPLE</v>
      </c>
      <c r="G17" s="1"/>
    </row>
    <row r="18" spans="3:7" x14ac:dyDescent="0.3">
      <c r="C18" s="1" t="s">
        <v>69</v>
      </c>
      <c r="D18" s="1"/>
    </row>
    <row r="19" spans="3:7" x14ac:dyDescent="0.3">
      <c r="D19" s="27" t="s">
        <v>59</v>
      </c>
      <c r="E19" s="27">
        <f>IF(B7&lt;F14,A14/0.0254,"Modificar Diametro")</f>
        <v>2.9999999999999996</v>
      </c>
      <c r="F19" s="27" t="s">
        <v>65</v>
      </c>
    </row>
  </sheetData>
  <conditionalFormatting sqref="F17">
    <cfRule type="cellIs" dxfId="3" priority="4" operator="lessThan">
      <formula>$I$51</formula>
    </cfRule>
  </conditionalFormatting>
  <conditionalFormatting sqref="F16">
    <cfRule type="cellIs" dxfId="2" priority="2" operator="lessThan">
      <formula>$I$51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" operator="containsText" id="{8B0B8CAE-EBC5-4B83-853B-7D4739F1A27C}">
            <xm:f>NOT(ISERROR(SEARCH($I$51,F17)))</xm:f>
            <xm:f>$I$51</xm:f>
            <x14:dxf>
              <fill>
                <patternFill>
                  <bgColor rgb="FF00B0F0"/>
                </patternFill>
              </fill>
            </x14:dxf>
          </x14:cfRule>
          <xm:sqref>F17</xm:sqref>
        </x14:conditionalFormatting>
        <x14:conditionalFormatting xmlns:xm="http://schemas.microsoft.com/office/excel/2006/main">
          <x14:cfRule type="containsText" priority="1" operator="containsText" id="{A62A7527-50D4-4E79-B201-A2C1155F9F6B}">
            <xm:f>NOT(ISERROR(SEARCH($I$51,F16)))</xm:f>
            <xm:f>$I$51</xm:f>
            <x14:dxf>
              <fill>
                <patternFill>
                  <bgColor rgb="FF00B0F0"/>
                </patternFill>
              </fill>
            </x14:dxf>
          </x14:cfRule>
          <xm:sqref>F16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2</vt:i4>
      </vt:variant>
    </vt:vector>
  </HeadingPairs>
  <TitlesOfParts>
    <vt:vector size="9" baseType="lpstr">
      <vt:lpstr>SIST. 1_P1</vt:lpstr>
      <vt:lpstr>SIST. 2_P1</vt:lpstr>
      <vt:lpstr>SIST. 1_P2</vt:lpstr>
      <vt:lpstr>SIST. 2_P2</vt:lpstr>
      <vt:lpstr>SIST. 1_P3</vt:lpstr>
      <vt:lpstr>SIST. 2_P3</vt:lpstr>
      <vt:lpstr>Hoja1</vt:lpstr>
      <vt:lpstr>'SIST. 1_P2'!Área_de_impresión</vt:lpstr>
      <vt:lpstr>'SIST. 2_P3'!Área_de_impresión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Roy</cp:lastModifiedBy>
  <cp:lastPrinted>2022-04-01T19:58:16Z</cp:lastPrinted>
  <dcterms:created xsi:type="dcterms:W3CDTF">2021-04-28T13:15:07Z</dcterms:created>
  <dcterms:modified xsi:type="dcterms:W3CDTF">2022-04-01T20:04:51Z</dcterms:modified>
</cp:coreProperties>
</file>