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rtidas nuevassss\PARTIDAS NUEVAS\"/>
    </mc:Choice>
  </mc:AlternateContent>
  <xr:revisionPtr revIDLastSave="0" documentId="8_{BF7EAB12-F255-497A-AFFE-366A1F67E60D}" xr6:coauthVersionLast="47" xr6:coauthVersionMax="47" xr10:uidLastSave="{00000000-0000-0000-0000-000000000000}"/>
  <bookViews>
    <workbookView xWindow="-108" yWindow="-108" windowWidth="23256" windowHeight="12576" firstSheet="9" activeTab="15" xr2:uid="{8EF1BB8C-6D88-4468-824D-92F46C308ED4}"/>
  </bookViews>
  <sheets>
    <sheet name="BLOQUE 1" sheetId="12" r:id="rId1"/>
    <sheet name="BLOQUE 2" sheetId="11" r:id="rId2"/>
    <sheet name="BLOQUE 3" sheetId="10" r:id="rId3"/>
    <sheet name="BLOQUE 4" sheetId="9" r:id="rId4"/>
    <sheet name="BLOQUE 5" sheetId="8" r:id="rId5"/>
    <sheet name="BLOQUE 6" sheetId="7" r:id="rId6"/>
    <sheet name="BLOQUE 7" sheetId="6" r:id="rId7"/>
    <sheet name="BLOQUE 8" sheetId="5" r:id="rId8"/>
    <sheet name="BLOQUE 9" sheetId="3" r:id="rId9"/>
    <sheet name="BLOQUE 10" sheetId="2" r:id="rId10"/>
    <sheet name="BLOQUE 11" sheetId="1" r:id="rId11"/>
    <sheet name="QUIOSCOS P." sheetId="13" r:id="rId12"/>
    <sheet name="QUIOSCOS S." sheetId="14" r:id="rId13"/>
    <sheet name="ESTACIONAMIENTO" sheetId="18" r:id="rId14"/>
    <sheet name="GUARDIANIAS" sheetId="17" r:id="rId15"/>
    <sheet name="RESUMEN" sheetId="15" r:id="rId16"/>
  </sheets>
  <definedNames>
    <definedName name="_xlnm.Print_Area" localSheetId="0">'BLOQUE 1'!$A$1:$O$624</definedName>
    <definedName name="_xlnm.Print_Area" localSheetId="9">'BLOQUE 10'!$A$1:$P$359</definedName>
    <definedName name="_xlnm.Print_Area" localSheetId="10">'BLOQUE 11'!$A$1:$P$440</definedName>
    <definedName name="_xlnm.Print_Area" localSheetId="1">'BLOQUE 2'!$A$1:$P$632</definedName>
    <definedName name="_xlnm.Print_Area" localSheetId="4">'BLOQUE 5'!$A$1:$P$449</definedName>
    <definedName name="_xlnm.Print_Area" localSheetId="5">'BLOQUE 6'!$A$1:$P$318</definedName>
    <definedName name="_xlnm.Print_Area" localSheetId="6">'BLOQUE 7'!$A$1:$P$192</definedName>
    <definedName name="_xlnm.Print_Area" localSheetId="7">'BLOQUE 8'!$A$1:$P$318</definedName>
    <definedName name="_xlnm.Print_Area" localSheetId="8">'BLOQUE 9'!$A$1:$P$291</definedName>
    <definedName name="_xlnm.Print_Area" localSheetId="11">'QUIOSCOS P.'!$A$1:$P$134</definedName>
    <definedName name="_xlnm.Print_Area" localSheetId="12">'QUIOSCOS S.'!$A$1:$P$166</definedName>
    <definedName name="_xlnm.Print_Area" localSheetId="15">RESUMEN!$A$1:$U$19</definedName>
    <definedName name="_xlnm.Print_Titles" localSheetId="0">'BLOQUE 1'!$2:$14</definedName>
    <definedName name="_xlnm.Print_Titles" localSheetId="9">'BLOQUE 10'!$3:$15</definedName>
    <definedName name="_xlnm.Print_Titles" localSheetId="10">'BLOQUE 11'!$3:$15</definedName>
    <definedName name="_xlnm.Print_Titles" localSheetId="1">'BLOQUE 2'!$2:$14</definedName>
    <definedName name="_xlnm.Print_Titles" localSheetId="2">'BLOQUE 3'!$2:$14</definedName>
    <definedName name="_xlnm.Print_Titles" localSheetId="3">'BLOQUE 4'!$2:$14</definedName>
    <definedName name="_xlnm.Print_Titles" localSheetId="4">'BLOQUE 5'!$3:$15</definedName>
    <definedName name="_xlnm.Print_Titles" localSheetId="5">'BLOQUE 6'!$3:$15</definedName>
    <definedName name="_xlnm.Print_Titles" localSheetId="6">'BLOQUE 7'!$3:$15</definedName>
    <definedName name="_xlnm.Print_Titles" localSheetId="7">'BLOQUE 8'!$3:$15</definedName>
    <definedName name="_xlnm.Print_Titles" localSheetId="8">'BLOQUE 9'!$3:$15</definedName>
    <definedName name="_xlnm.Print_Titles" localSheetId="11">'QUIOSCOS P.'!$3:$15</definedName>
    <definedName name="_xlnm.Print_Titles" localSheetId="12">'QUIOSCOS S.'!$3:$15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5" l="1"/>
  <c r="S13" i="15"/>
  <c r="Q18" i="15"/>
  <c r="Q17" i="15"/>
  <c r="Q16" i="15"/>
  <c r="Q15" i="15"/>
  <c r="Q13" i="15"/>
  <c r="F146" i="17"/>
  <c r="J146" i="17" s="1"/>
  <c r="J145" i="17"/>
  <c r="J144" i="17"/>
  <c r="J143" i="17"/>
  <c r="F141" i="17"/>
  <c r="J141" i="17" s="1"/>
  <c r="F140" i="17"/>
  <c r="J140" i="17" s="1"/>
  <c r="N135" i="17" s="1"/>
  <c r="J139" i="17"/>
  <c r="J138" i="17"/>
  <c r="J133" i="17"/>
  <c r="J132" i="17"/>
  <c r="J131" i="17"/>
  <c r="J129" i="17"/>
  <c r="J128" i="17"/>
  <c r="J123" i="17"/>
  <c r="J122" i="17"/>
  <c r="J121" i="17"/>
  <c r="J120" i="17"/>
  <c r="J118" i="17"/>
  <c r="J117" i="17"/>
  <c r="J116" i="17"/>
  <c r="N112" i="17" s="1"/>
  <c r="J110" i="17"/>
  <c r="J109" i="17"/>
  <c r="J108" i="17"/>
  <c r="J107" i="17"/>
  <c r="J106" i="17"/>
  <c r="J105" i="17"/>
  <c r="J104" i="17"/>
  <c r="J103" i="17"/>
  <c r="J99" i="17"/>
  <c r="E98" i="17"/>
  <c r="J98" i="17" s="1"/>
  <c r="N86" i="17" s="1"/>
  <c r="J97" i="17"/>
  <c r="J96" i="17"/>
  <c r="E96" i="17"/>
  <c r="J95" i="17"/>
  <c r="J94" i="17"/>
  <c r="J93" i="17"/>
  <c r="J92" i="17"/>
  <c r="J91" i="17"/>
  <c r="J90" i="17"/>
  <c r="J89" i="17"/>
  <c r="J84" i="17"/>
  <c r="E84" i="17"/>
  <c r="J83" i="17"/>
  <c r="E82" i="17"/>
  <c r="J82" i="17" s="1"/>
  <c r="E81" i="17"/>
  <c r="J81" i="17" s="1"/>
  <c r="J80" i="17"/>
  <c r="E80" i="17"/>
  <c r="J79" i="17"/>
  <c r="E78" i="17"/>
  <c r="J78" i="17" s="1"/>
  <c r="J77" i="17"/>
  <c r="J76" i="17"/>
  <c r="J75" i="17"/>
  <c r="E71" i="17"/>
  <c r="J71" i="17" s="1"/>
  <c r="E70" i="17"/>
  <c r="J70" i="17" s="1"/>
  <c r="J69" i="17"/>
  <c r="J68" i="17"/>
  <c r="J67" i="17"/>
  <c r="J66" i="17"/>
  <c r="J65" i="17"/>
  <c r="J64" i="17"/>
  <c r="J63" i="17"/>
  <c r="J62" i="17"/>
  <c r="J57" i="17"/>
  <c r="J56" i="17"/>
  <c r="J55" i="17"/>
  <c r="J54" i="17"/>
  <c r="J53" i="17"/>
  <c r="J52" i="17"/>
  <c r="J51" i="17"/>
  <c r="J50" i="17"/>
  <c r="J49" i="17"/>
  <c r="N20" i="17" s="1"/>
  <c r="J48" i="17"/>
  <c r="J47" i="17"/>
  <c r="J46" i="17"/>
  <c r="J45" i="17"/>
  <c r="J44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31" i="18"/>
  <c r="N29" i="18" s="1"/>
  <c r="J27" i="18"/>
  <c r="J26" i="18"/>
  <c r="J25" i="18"/>
  <c r="J24" i="18"/>
  <c r="N21" i="18"/>
  <c r="P18" i="15"/>
  <c r="P17" i="15"/>
  <c r="P16" i="15"/>
  <c r="P15" i="15"/>
  <c r="P14" i="15"/>
  <c r="P13" i="15"/>
  <c r="N18" i="15"/>
  <c r="N17" i="15"/>
  <c r="N16" i="15"/>
  <c r="N15" i="15"/>
  <c r="N14" i="15"/>
  <c r="N13" i="15"/>
  <c r="M18" i="15"/>
  <c r="M17" i="15"/>
  <c r="M16" i="15"/>
  <c r="M15" i="15"/>
  <c r="M14" i="15"/>
  <c r="M13" i="15"/>
  <c r="L18" i="15"/>
  <c r="L17" i="15"/>
  <c r="L16" i="15"/>
  <c r="L15" i="15"/>
  <c r="L14" i="15"/>
  <c r="L13" i="15"/>
  <c r="K18" i="15"/>
  <c r="K17" i="15"/>
  <c r="K16" i="15"/>
  <c r="K15" i="15"/>
  <c r="K14" i="15"/>
  <c r="K13" i="15"/>
  <c r="J18" i="15"/>
  <c r="J17" i="15"/>
  <c r="J16" i="15"/>
  <c r="J15" i="15"/>
  <c r="J13" i="15"/>
  <c r="I18" i="15"/>
  <c r="I17" i="15"/>
  <c r="I16" i="15"/>
  <c r="I15" i="15"/>
  <c r="I14" i="15"/>
  <c r="I13" i="15"/>
  <c r="H18" i="15"/>
  <c r="H17" i="15"/>
  <c r="H16" i="15"/>
  <c r="H15" i="15"/>
  <c r="H14" i="15"/>
  <c r="H13" i="15"/>
  <c r="P144" i="14"/>
  <c r="P58" i="13"/>
  <c r="L116" i="13"/>
  <c r="L115" i="13"/>
  <c r="L106" i="13"/>
  <c r="L105" i="13"/>
  <c r="P101" i="13" s="1"/>
  <c r="L120" i="13"/>
  <c r="L119" i="13"/>
  <c r="L118" i="13"/>
  <c r="L110" i="13"/>
  <c r="L109" i="13"/>
  <c r="L108" i="13"/>
  <c r="L216" i="10"/>
  <c r="L215" i="10"/>
  <c r="L210" i="10"/>
  <c r="L209" i="10"/>
  <c r="L204" i="10"/>
  <c r="L203" i="10"/>
  <c r="L198" i="10"/>
  <c r="L197" i="10"/>
  <c r="L298" i="11"/>
  <c r="L290" i="11"/>
  <c r="L282" i="11"/>
  <c r="L213" i="10"/>
  <c r="L207" i="10"/>
  <c r="L201" i="10"/>
  <c r="L195" i="10"/>
  <c r="L295" i="11"/>
  <c r="L294" i="11"/>
  <c r="L287" i="11"/>
  <c r="L286" i="11"/>
  <c r="L279" i="11"/>
  <c r="L278" i="11"/>
  <c r="L277" i="11"/>
  <c r="L528" i="9"/>
  <c r="L527" i="9"/>
  <c r="L526" i="9"/>
  <c r="L525" i="9"/>
  <c r="L510" i="9"/>
  <c r="L509" i="9"/>
  <c r="L508" i="9"/>
  <c r="L507" i="9"/>
  <c r="L506" i="9"/>
  <c r="L491" i="9"/>
  <c r="L490" i="9"/>
  <c r="L489" i="9"/>
  <c r="L488" i="9"/>
  <c r="L487" i="9"/>
  <c r="L486" i="9"/>
  <c r="L485" i="9"/>
  <c r="L523" i="9"/>
  <c r="L522" i="9"/>
  <c r="L521" i="9"/>
  <c r="L520" i="9"/>
  <c r="L519" i="9"/>
  <c r="L518" i="9"/>
  <c r="L517" i="9"/>
  <c r="L516" i="9"/>
  <c r="L515" i="9"/>
  <c r="L514" i="9"/>
  <c r="L513" i="9"/>
  <c r="L504" i="9"/>
  <c r="L503" i="9"/>
  <c r="L502" i="9"/>
  <c r="L501" i="9"/>
  <c r="L500" i="9"/>
  <c r="L499" i="9"/>
  <c r="L498" i="9"/>
  <c r="L497" i="9"/>
  <c r="L496" i="9"/>
  <c r="L495" i="9"/>
  <c r="L494" i="9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28" i="8"/>
  <c r="L427" i="8"/>
  <c r="L421" i="8"/>
  <c r="L415" i="8"/>
  <c r="L414" i="8"/>
  <c r="L408" i="8"/>
  <c r="L407" i="8"/>
  <c r="L406" i="8"/>
  <c r="L405" i="8"/>
  <c r="P379" i="8" s="1"/>
  <c r="L404" i="8"/>
  <c r="L393" i="8"/>
  <c r="L392" i="8"/>
  <c r="L391" i="8"/>
  <c r="L386" i="8"/>
  <c r="L385" i="8"/>
  <c r="L425" i="8"/>
  <c r="L424" i="8"/>
  <c r="L419" i="8"/>
  <c r="L418" i="8"/>
  <c r="L412" i="8"/>
  <c r="L411" i="8"/>
  <c r="L402" i="8"/>
  <c r="L401" i="8"/>
  <c r="L400" i="8"/>
  <c r="L399" i="8"/>
  <c r="L398" i="8"/>
  <c r="L389" i="8"/>
  <c r="L383" i="8"/>
  <c r="L295" i="7"/>
  <c r="L289" i="7"/>
  <c r="L283" i="7"/>
  <c r="L293" i="7"/>
  <c r="L292" i="7"/>
  <c r="L287" i="7"/>
  <c r="L286" i="7"/>
  <c r="L281" i="7"/>
  <c r="L280" i="7"/>
  <c r="L276" i="7"/>
  <c r="P272" i="7" s="1"/>
  <c r="K290" i="12"/>
  <c r="K289" i="12"/>
  <c r="K282" i="12"/>
  <c r="K281" i="12"/>
  <c r="K280" i="12"/>
  <c r="K279" i="12"/>
  <c r="K278" i="12"/>
  <c r="K277" i="12"/>
  <c r="K287" i="12"/>
  <c r="K286" i="12"/>
  <c r="K285" i="12"/>
  <c r="K275" i="12"/>
  <c r="K274" i="12"/>
  <c r="K273" i="12"/>
  <c r="K272" i="12"/>
  <c r="K269" i="12"/>
  <c r="K268" i="12"/>
  <c r="K267" i="12"/>
  <c r="K266" i="12"/>
  <c r="K264" i="12"/>
  <c r="K263" i="12"/>
  <c r="K262" i="12"/>
  <c r="K261" i="12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2" i="14"/>
  <c r="L151" i="14"/>
  <c r="L150" i="14"/>
  <c r="L149" i="14"/>
  <c r="L148" i="14"/>
  <c r="L147" i="14"/>
  <c r="L146" i="14"/>
  <c r="L142" i="14"/>
  <c r="L138" i="14"/>
  <c r="L137" i="14"/>
  <c r="L136" i="14"/>
  <c r="L135" i="14"/>
  <c r="L133" i="14"/>
  <c r="L132" i="14"/>
  <c r="P129" i="14" s="1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P89" i="14" s="1"/>
  <c r="L87" i="14"/>
  <c r="L86" i="14"/>
  <c r="L85" i="14"/>
  <c r="L84" i="14"/>
  <c r="L83" i="14"/>
  <c r="L82" i="14"/>
  <c r="L81" i="14"/>
  <c r="L80" i="14"/>
  <c r="L79" i="14"/>
  <c r="L77" i="14"/>
  <c r="L76" i="14"/>
  <c r="L75" i="14"/>
  <c r="L74" i="14"/>
  <c r="L73" i="14"/>
  <c r="L72" i="14"/>
  <c r="L71" i="14"/>
  <c r="L70" i="14"/>
  <c r="L69" i="14"/>
  <c r="P66" i="14" s="1"/>
  <c r="L64" i="14"/>
  <c r="L63" i="14"/>
  <c r="L62" i="14"/>
  <c r="L60" i="14"/>
  <c r="L59" i="14"/>
  <c r="L56" i="14"/>
  <c r="P53" i="14" s="1"/>
  <c r="G51" i="14"/>
  <c r="L51" i="14" s="1"/>
  <c r="G50" i="14"/>
  <c r="L50" i="14" s="1"/>
  <c r="L49" i="14"/>
  <c r="L45" i="14"/>
  <c r="L44" i="14"/>
  <c r="L43" i="14"/>
  <c r="L42" i="14"/>
  <c r="L38" i="14"/>
  <c r="L37" i="14"/>
  <c r="L36" i="14"/>
  <c r="L35" i="14"/>
  <c r="L34" i="14"/>
  <c r="L33" i="14"/>
  <c r="L32" i="14"/>
  <c r="L31" i="14"/>
  <c r="L29" i="14"/>
  <c r="L28" i="14"/>
  <c r="L27" i="14"/>
  <c r="L26" i="14"/>
  <c r="L25" i="14"/>
  <c r="L23" i="14"/>
  <c r="P20" i="14" s="1"/>
  <c r="W1" i="14"/>
  <c r="H134" i="13"/>
  <c r="L134" i="13" s="1"/>
  <c r="L133" i="13"/>
  <c r="L132" i="13"/>
  <c r="L131" i="13"/>
  <c r="L128" i="13"/>
  <c r="H128" i="13"/>
  <c r="L127" i="13"/>
  <c r="L126" i="13"/>
  <c r="P122" i="13" s="1"/>
  <c r="L125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6" i="13"/>
  <c r="L85" i="13"/>
  <c r="L84" i="13"/>
  <c r="L83" i="13"/>
  <c r="L82" i="13"/>
  <c r="L81" i="13"/>
  <c r="L80" i="13"/>
  <c r="L79" i="13"/>
  <c r="L78" i="13"/>
  <c r="L77" i="13"/>
  <c r="L76" i="13"/>
  <c r="P72" i="13" s="1"/>
  <c r="L75" i="13"/>
  <c r="L70" i="13"/>
  <c r="L69" i="13"/>
  <c r="L68" i="13"/>
  <c r="L67" i="13"/>
  <c r="L64" i="13"/>
  <c r="L63" i="13"/>
  <c r="L62" i="13"/>
  <c r="L61" i="13"/>
  <c r="L56" i="13"/>
  <c r="L55" i="13"/>
  <c r="L53" i="13"/>
  <c r="L52" i="13"/>
  <c r="L51" i="13"/>
  <c r="L49" i="13"/>
  <c r="H48" i="13"/>
  <c r="L48" i="13" s="1"/>
  <c r="L47" i="13"/>
  <c r="L46" i="13"/>
  <c r="L45" i="13"/>
  <c r="L44" i="13"/>
  <c r="L43" i="13"/>
  <c r="L42" i="13"/>
  <c r="L38" i="13"/>
  <c r="L37" i="13"/>
  <c r="L35" i="13"/>
  <c r="L34" i="13"/>
  <c r="L33" i="13"/>
  <c r="L31" i="13"/>
  <c r="H30" i="13"/>
  <c r="L30" i="13" s="1"/>
  <c r="L29" i="13"/>
  <c r="L28" i="13"/>
  <c r="L27" i="13"/>
  <c r="L26" i="13"/>
  <c r="L25" i="13"/>
  <c r="L24" i="13"/>
  <c r="P20" i="13" s="1"/>
  <c r="W1" i="13"/>
  <c r="K320" i="12"/>
  <c r="K319" i="12"/>
  <c r="K318" i="12"/>
  <c r="K316" i="12"/>
  <c r="K315" i="12"/>
  <c r="K314" i="12"/>
  <c r="K313" i="12"/>
  <c r="K312" i="12"/>
  <c r="K311" i="12"/>
  <c r="K310" i="12"/>
  <c r="K308" i="12"/>
  <c r="K307" i="12"/>
  <c r="K306" i="12"/>
  <c r="K305" i="12"/>
  <c r="K304" i="12"/>
  <c r="K303" i="12"/>
  <c r="K302" i="12"/>
  <c r="K301" i="12"/>
  <c r="K300" i="12"/>
  <c r="K299" i="12"/>
  <c r="K297" i="12"/>
  <c r="K296" i="12"/>
  <c r="K295" i="12"/>
  <c r="K294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6" i="12"/>
  <c r="K205" i="12"/>
  <c r="K204" i="12"/>
  <c r="K203" i="12"/>
  <c r="K202" i="12"/>
  <c r="K201" i="12"/>
  <c r="K200" i="12"/>
  <c r="K199" i="12"/>
  <c r="F198" i="12"/>
  <c r="K198" i="12" s="1"/>
  <c r="K197" i="12"/>
  <c r="K193" i="12"/>
  <c r="K192" i="12"/>
  <c r="K191" i="12"/>
  <c r="K190" i="12"/>
  <c r="K189" i="12"/>
  <c r="K188" i="12"/>
  <c r="K187" i="12"/>
  <c r="K186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5" i="12"/>
  <c r="K154" i="12"/>
  <c r="K153" i="12"/>
  <c r="K152" i="12"/>
  <c r="K151" i="12"/>
  <c r="K150" i="12"/>
  <c r="K149" i="12"/>
  <c r="K148" i="12"/>
  <c r="K147" i="12"/>
  <c r="K146" i="12"/>
  <c r="F142" i="12"/>
  <c r="K142" i="12" s="1"/>
  <c r="K141" i="12"/>
  <c r="K140" i="12"/>
  <c r="K138" i="12"/>
  <c r="K137" i="12"/>
  <c r="K135" i="12"/>
  <c r="K134" i="12"/>
  <c r="K133" i="12"/>
  <c r="K132" i="12"/>
  <c r="K130" i="12"/>
  <c r="K129" i="12"/>
  <c r="K127" i="12"/>
  <c r="K126" i="12"/>
  <c r="K125" i="12"/>
  <c r="K124" i="12"/>
  <c r="K122" i="12"/>
  <c r="K121" i="12"/>
  <c r="K119" i="12"/>
  <c r="F118" i="12"/>
  <c r="K118" i="12" s="1"/>
  <c r="K117" i="12"/>
  <c r="F112" i="12"/>
  <c r="K112" i="12" s="1"/>
  <c r="K110" i="12"/>
  <c r="F109" i="12"/>
  <c r="K109" i="12" s="1"/>
  <c r="F108" i="12"/>
  <c r="K108" i="12" s="1"/>
  <c r="F107" i="12"/>
  <c r="K107" i="12" s="1"/>
  <c r="F106" i="12"/>
  <c r="K106" i="12" s="1"/>
  <c r="F104" i="12"/>
  <c r="K104" i="12" s="1"/>
  <c r="F103" i="12"/>
  <c r="K103" i="12" s="1"/>
  <c r="K99" i="12"/>
  <c r="F98" i="12"/>
  <c r="K98" i="12" s="1"/>
  <c r="F97" i="12"/>
  <c r="K97" i="12" s="1"/>
  <c r="K96" i="12"/>
  <c r="K95" i="12"/>
  <c r="K94" i="12"/>
  <c r="K90" i="12"/>
  <c r="K88" i="12"/>
  <c r="K86" i="12"/>
  <c r="K82" i="12"/>
  <c r="K81" i="12"/>
  <c r="K80" i="12"/>
  <c r="K78" i="12"/>
  <c r="K77" i="12"/>
  <c r="K76" i="12"/>
  <c r="K75" i="12"/>
  <c r="K74" i="12"/>
  <c r="F73" i="12"/>
  <c r="K73" i="12" s="1"/>
  <c r="K72" i="12"/>
  <c r="K71" i="12"/>
  <c r="K70" i="12"/>
  <c r="K69" i="12"/>
  <c r="K68" i="12"/>
  <c r="K67" i="12"/>
  <c r="K65" i="12"/>
  <c r="K64" i="12"/>
  <c r="K63" i="12"/>
  <c r="K62" i="12"/>
  <c r="K60" i="12"/>
  <c r="F59" i="12"/>
  <c r="K59" i="12" s="1"/>
  <c r="K58" i="12"/>
  <c r="K57" i="12"/>
  <c r="F56" i="12"/>
  <c r="K56" i="12" s="1"/>
  <c r="F55" i="12"/>
  <c r="K55" i="12" s="1"/>
  <c r="K54" i="12"/>
  <c r="K53" i="12"/>
  <c r="K52" i="12"/>
  <c r="K51" i="12"/>
  <c r="F50" i="12"/>
  <c r="K50" i="12" s="1"/>
  <c r="K48" i="12"/>
  <c r="K47" i="12"/>
  <c r="K46" i="12"/>
  <c r="K45" i="12"/>
  <c r="K43" i="12"/>
  <c r="K42" i="12"/>
  <c r="K41" i="12"/>
  <c r="K40" i="12"/>
  <c r="K39" i="12"/>
  <c r="K38" i="12"/>
  <c r="K37" i="12"/>
  <c r="K36" i="12"/>
  <c r="K32" i="12"/>
  <c r="K31" i="12"/>
  <c r="K30" i="12"/>
  <c r="K29" i="12"/>
  <c r="K28" i="12"/>
  <c r="K27" i="12"/>
  <c r="K26" i="12"/>
  <c r="F25" i="12"/>
  <c r="K25" i="12" s="1"/>
  <c r="K24" i="12"/>
  <c r="K23" i="12"/>
  <c r="K22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J601" i="12"/>
  <c r="J600" i="12"/>
  <c r="J599" i="12"/>
  <c r="J598" i="12"/>
  <c r="J596" i="12"/>
  <c r="J595" i="12"/>
  <c r="J594" i="12"/>
  <c r="J593" i="12"/>
  <c r="J592" i="12"/>
  <c r="J591" i="12"/>
  <c r="J590" i="12"/>
  <c r="J589" i="12"/>
  <c r="J588" i="12"/>
  <c r="J587" i="12"/>
  <c r="J586" i="12"/>
  <c r="J583" i="12"/>
  <c r="J582" i="12"/>
  <c r="J581" i="12"/>
  <c r="J580" i="12"/>
  <c r="J579" i="12"/>
  <c r="J577" i="12"/>
  <c r="J576" i="12"/>
  <c r="J575" i="12"/>
  <c r="J574" i="12"/>
  <c r="J573" i="12"/>
  <c r="J572" i="12"/>
  <c r="J571" i="12"/>
  <c r="J570" i="12"/>
  <c r="J569" i="12"/>
  <c r="J568" i="12"/>
  <c r="J567" i="12"/>
  <c r="J564" i="12"/>
  <c r="J563" i="12"/>
  <c r="J562" i="12"/>
  <c r="J561" i="12"/>
  <c r="J560" i="12"/>
  <c r="J559" i="12"/>
  <c r="J558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K539" i="12"/>
  <c r="F538" i="12"/>
  <c r="K538" i="12" s="1"/>
  <c r="F537" i="12"/>
  <c r="K537" i="12" s="1"/>
  <c r="F536" i="12"/>
  <c r="K536" i="12" s="1"/>
  <c r="F535" i="12"/>
  <c r="K535" i="12" s="1"/>
  <c r="F534" i="12"/>
  <c r="K534" i="12" s="1"/>
  <c r="F533" i="12"/>
  <c r="K533" i="12" s="1"/>
  <c r="F532" i="12"/>
  <c r="K532" i="12" s="1"/>
  <c r="F531" i="12"/>
  <c r="K531" i="12" s="1"/>
  <c r="F530" i="12"/>
  <c r="K530" i="12" s="1"/>
  <c r="H529" i="12"/>
  <c r="F529" i="12"/>
  <c r="F528" i="12"/>
  <c r="K528" i="12" s="1"/>
  <c r="F527" i="12"/>
  <c r="K527" i="12" s="1"/>
  <c r="F526" i="12"/>
  <c r="K526" i="12" s="1"/>
  <c r="F525" i="12"/>
  <c r="K525" i="12" s="1"/>
  <c r="F524" i="12"/>
  <c r="K524" i="12" s="1"/>
  <c r="H523" i="12"/>
  <c r="F523" i="12"/>
  <c r="F522" i="12"/>
  <c r="K522" i="12" s="1"/>
  <c r="F521" i="12"/>
  <c r="K521" i="12" s="1"/>
  <c r="F520" i="12"/>
  <c r="K520" i="12" s="1"/>
  <c r="F519" i="12"/>
  <c r="K519" i="12" s="1"/>
  <c r="F518" i="12"/>
  <c r="K518" i="12" s="1"/>
  <c r="H517" i="12"/>
  <c r="F517" i="12"/>
  <c r="F516" i="12"/>
  <c r="K516" i="12" s="1"/>
  <c r="F515" i="12"/>
  <c r="K515" i="12" s="1"/>
  <c r="F514" i="12"/>
  <c r="K514" i="12" s="1"/>
  <c r="F513" i="12"/>
  <c r="K513" i="12" s="1"/>
  <c r="F512" i="12"/>
  <c r="K512" i="12" s="1"/>
  <c r="F511" i="12"/>
  <c r="K511" i="12" s="1"/>
  <c r="F510" i="12"/>
  <c r="K510" i="12" s="1"/>
  <c r="F509" i="12"/>
  <c r="K509" i="12" s="1"/>
  <c r="F508" i="12"/>
  <c r="K508" i="12" s="1"/>
  <c r="F507" i="12"/>
  <c r="K507" i="12" s="1"/>
  <c r="F506" i="12"/>
  <c r="K506" i="12" s="1"/>
  <c r="F505" i="12"/>
  <c r="K505" i="12" s="1"/>
  <c r="F504" i="12"/>
  <c r="K504" i="12" s="1"/>
  <c r="F503" i="12"/>
  <c r="K503" i="12" s="1"/>
  <c r="F502" i="12"/>
  <c r="K502" i="12" s="1"/>
  <c r="F501" i="12"/>
  <c r="K501" i="12" s="1"/>
  <c r="F500" i="12"/>
  <c r="K500" i="12" s="1"/>
  <c r="F499" i="12"/>
  <c r="K499" i="12" s="1"/>
  <c r="F498" i="12"/>
  <c r="K498" i="12" s="1"/>
  <c r="F497" i="12"/>
  <c r="K497" i="12" s="1"/>
  <c r="F496" i="12"/>
  <c r="K496" i="12" s="1"/>
  <c r="F495" i="12"/>
  <c r="K495" i="12" s="1"/>
  <c r="F494" i="12"/>
  <c r="K494" i="12" s="1"/>
  <c r="F493" i="12"/>
  <c r="K493" i="12" s="1"/>
  <c r="F492" i="12"/>
  <c r="K492" i="12" s="1"/>
  <c r="F491" i="12"/>
  <c r="K491" i="12" s="1"/>
  <c r="F490" i="12"/>
  <c r="K490" i="12" s="1"/>
  <c r="F489" i="12"/>
  <c r="K489" i="12" s="1"/>
  <c r="F488" i="12"/>
  <c r="K488" i="12" s="1"/>
  <c r="F487" i="12"/>
  <c r="K487" i="12" s="1"/>
  <c r="F486" i="12"/>
  <c r="K486" i="12" s="1"/>
  <c r="F485" i="12"/>
  <c r="K485" i="12" s="1"/>
  <c r="F484" i="12"/>
  <c r="K484" i="12" s="1"/>
  <c r="F483" i="12"/>
  <c r="K483" i="12" s="1"/>
  <c r="H482" i="12"/>
  <c r="F482" i="12"/>
  <c r="F481" i="12"/>
  <c r="K481" i="12" s="1"/>
  <c r="F480" i="12"/>
  <c r="K480" i="12" s="1"/>
  <c r="K478" i="12"/>
  <c r="F477" i="12"/>
  <c r="K477" i="12" s="1"/>
  <c r="F476" i="12"/>
  <c r="K476" i="12" s="1"/>
  <c r="K475" i="12"/>
  <c r="F475" i="12"/>
  <c r="F474" i="12"/>
  <c r="K474" i="12" s="1"/>
  <c r="F473" i="12"/>
  <c r="K473" i="12" s="1"/>
  <c r="F472" i="12"/>
  <c r="K472" i="12" s="1"/>
  <c r="F471" i="12"/>
  <c r="K471" i="12" s="1"/>
  <c r="F470" i="12"/>
  <c r="K470" i="12" s="1"/>
  <c r="F469" i="12"/>
  <c r="K469" i="12" s="1"/>
  <c r="H468" i="12"/>
  <c r="F468" i="12"/>
  <c r="F467" i="12"/>
  <c r="K467" i="12" s="1"/>
  <c r="F466" i="12"/>
  <c r="K466" i="12" s="1"/>
  <c r="F465" i="12"/>
  <c r="K465" i="12" s="1"/>
  <c r="F464" i="12"/>
  <c r="K464" i="12" s="1"/>
  <c r="F463" i="12"/>
  <c r="K463" i="12" s="1"/>
  <c r="H462" i="12"/>
  <c r="F462" i="12"/>
  <c r="F461" i="12"/>
  <c r="K461" i="12" s="1"/>
  <c r="F460" i="12"/>
  <c r="K460" i="12" s="1"/>
  <c r="F459" i="12"/>
  <c r="K459" i="12" s="1"/>
  <c r="F458" i="12"/>
  <c r="K458" i="12" s="1"/>
  <c r="F457" i="12"/>
  <c r="K457" i="12" s="1"/>
  <c r="H456" i="12"/>
  <c r="F456" i="12"/>
  <c r="F455" i="12"/>
  <c r="K455" i="12" s="1"/>
  <c r="F454" i="12"/>
  <c r="K454" i="12" s="1"/>
  <c r="F453" i="12"/>
  <c r="K453" i="12" s="1"/>
  <c r="F452" i="12"/>
  <c r="K452" i="12" s="1"/>
  <c r="F451" i="12"/>
  <c r="K451" i="12" s="1"/>
  <c r="F450" i="12"/>
  <c r="K450" i="12" s="1"/>
  <c r="F449" i="12"/>
  <c r="K449" i="12" s="1"/>
  <c r="F448" i="12"/>
  <c r="K448" i="12" s="1"/>
  <c r="F447" i="12"/>
  <c r="K447" i="12" s="1"/>
  <c r="F446" i="12"/>
  <c r="K446" i="12" s="1"/>
  <c r="F445" i="12"/>
  <c r="K445" i="12" s="1"/>
  <c r="F444" i="12"/>
  <c r="K444" i="12" s="1"/>
  <c r="F443" i="12"/>
  <c r="K443" i="12" s="1"/>
  <c r="F442" i="12"/>
  <c r="K442" i="12" s="1"/>
  <c r="F441" i="12"/>
  <c r="K441" i="12" s="1"/>
  <c r="F440" i="12"/>
  <c r="K440" i="12" s="1"/>
  <c r="F439" i="12"/>
  <c r="K439" i="12" s="1"/>
  <c r="F438" i="12"/>
  <c r="K438" i="12" s="1"/>
  <c r="F437" i="12"/>
  <c r="K437" i="12" s="1"/>
  <c r="F436" i="12"/>
  <c r="K436" i="12" s="1"/>
  <c r="F435" i="12"/>
  <c r="K435" i="12" s="1"/>
  <c r="F434" i="12"/>
  <c r="K434" i="12" s="1"/>
  <c r="F433" i="12"/>
  <c r="K433" i="12" s="1"/>
  <c r="F432" i="12"/>
  <c r="K432" i="12" s="1"/>
  <c r="F431" i="12"/>
  <c r="K431" i="12" s="1"/>
  <c r="F430" i="12"/>
  <c r="K430" i="12" s="1"/>
  <c r="F429" i="12"/>
  <c r="K429" i="12" s="1"/>
  <c r="F428" i="12"/>
  <c r="K428" i="12" s="1"/>
  <c r="F427" i="12"/>
  <c r="K427" i="12" s="1"/>
  <c r="F426" i="12"/>
  <c r="K426" i="12" s="1"/>
  <c r="F425" i="12"/>
  <c r="K425" i="12" s="1"/>
  <c r="F424" i="12"/>
  <c r="K424" i="12" s="1"/>
  <c r="F423" i="12"/>
  <c r="K423" i="12" s="1"/>
  <c r="F422" i="12"/>
  <c r="K422" i="12" s="1"/>
  <c r="H421" i="12"/>
  <c r="F421" i="12"/>
  <c r="F420" i="12"/>
  <c r="K420" i="12" s="1"/>
  <c r="F419" i="12"/>
  <c r="K419" i="12" s="1"/>
  <c r="K417" i="12"/>
  <c r="F416" i="12"/>
  <c r="K416" i="12" s="1"/>
  <c r="F415" i="12"/>
  <c r="K415" i="12" s="1"/>
  <c r="F414" i="12"/>
  <c r="K414" i="12" s="1"/>
  <c r="F413" i="12"/>
  <c r="K413" i="12" s="1"/>
  <c r="F412" i="12"/>
  <c r="K412" i="12" s="1"/>
  <c r="F411" i="12"/>
  <c r="K411" i="12" s="1"/>
  <c r="F410" i="12"/>
  <c r="K410" i="12" s="1"/>
  <c r="F409" i="12"/>
  <c r="K409" i="12" s="1"/>
  <c r="F408" i="12"/>
  <c r="K408" i="12" s="1"/>
  <c r="H407" i="12"/>
  <c r="F407" i="12"/>
  <c r="F406" i="12"/>
  <c r="K406" i="12" s="1"/>
  <c r="F405" i="12"/>
  <c r="K405" i="12" s="1"/>
  <c r="F404" i="12"/>
  <c r="K404" i="12" s="1"/>
  <c r="F403" i="12"/>
  <c r="K403" i="12" s="1"/>
  <c r="F402" i="12"/>
  <c r="K402" i="12" s="1"/>
  <c r="H401" i="12"/>
  <c r="F401" i="12"/>
  <c r="F400" i="12"/>
  <c r="K400" i="12" s="1"/>
  <c r="F399" i="12"/>
  <c r="K399" i="12" s="1"/>
  <c r="F398" i="12"/>
  <c r="K398" i="12" s="1"/>
  <c r="F397" i="12"/>
  <c r="K397" i="12" s="1"/>
  <c r="F396" i="12"/>
  <c r="K396" i="12" s="1"/>
  <c r="H395" i="12"/>
  <c r="F395" i="12"/>
  <c r="F394" i="12"/>
  <c r="K394" i="12" s="1"/>
  <c r="F393" i="12"/>
  <c r="K393" i="12" s="1"/>
  <c r="F392" i="12"/>
  <c r="K392" i="12" s="1"/>
  <c r="F391" i="12"/>
  <c r="K391" i="12" s="1"/>
  <c r="F390" i="12"/>
  <c r="K390" i="12" s="1"/>
  <c r="F389" i="12"/>
  <c r="K389" i="12" s="1"/>
  <c r="F388" i="12"/>
  <c r="K388" i="12" s="1"/>
  <c r="F387" i="12"/>
  <c r="K387" i="12" s="1"/>
  <c r="F386" i="12"/>
  <c r="K386" i="12" s="1"/>
  <c r="F385" i="12"/>
  <c r="K385" i="12" s="1"/>
  <c r="F384" i="12"/>
  <c r="K384" i="12" s="1"/>
  <c r="F383" i="12"/>
  <c r="K383" i="12" s="1"/>
  <c r="F382" i="12"/>
  <c r="K382" i="12" s="1"/>
  <c r="F381" i="12"/>
  <c r="K381" i="12" s="1"/>
  <c r="F380" i="12"/>
  <c r="K380" i="12" s="1"/>
  <c r="F379" i="12"/>
  <c r="K379" i="12" s="1"/>
  <c r="F378" i="12"/>
  <c r="K378" i="12" s="1"/>
  <c r="F377" i="12"/>
  <c r="K377" i="12" s="1"/>
  <c r="F376" i="12"/>
  <c r="K376" i="12" s="1"/>
  <c r="F375" i="12"/>
  <c r="K375" i="12" s="1"/>
  <c r="K374" i="12"/>
  <c r="F374" i="12"/>
  <c r="F373" i="12"/>
  <c r="K373" i="12" s="1"/>
  <c r="F372" i="12"/>
  <c r="K372" i="12" s="1"/>
  <c r="F371" i="12"/>
  <c r="K371" i="12" s="1"/>
  <c r="F370" i="12"/>
  <c r="K370" i="12" s="1"/>
  <c r="F369" i="12"/>
  <c r="K369" i="12" s="1"/>
  <c r="F368" i="12"/>
  <c r="K368" i="12" s="1"/>
  <c r="F367" i="12"/>
  <c r="K367" i="12" s="1"/>
  <c r="F366" i="12"/>
  <c r="K366" i="12" s="1"/>
  <c r="F365" i="12"/>
  <c r="K365" i="12" s="1"/>
  <c r="F364" i="12"/>
  <c r="K364" i="12" s="1"/>
  <c r="F363" i="12"/>
  <c r="K363" i="12" s="1"/>
  <c r="F362" i="12"/>
  <c r="K362" i="12" s="1"/>
  <c r="F361" i="12"/>
  <c r="K361" i="12" s="1"/>
  <c r="H360" i="12"/>
  <c r="F360" i="12"/>
  <c r="F359" i="12"/>
  <c r="K359" i="12" s="1"/>
  <c r="F358" i="12"/>
  <c r="K358" i="12" s="1"/>
  <c r="K356" i="12"/>
  <c r="F354" i="12"/>
  <c r="K354" i="12" s="1"/>
  <c r="F353" i="12"/>
  <c r="K353" i="12" s="1"/>
  <c r="F352" i="12"/>
  <c r="K352" i="12" s="1"/>
  <c r="K351" i="12"/>
  <c r="F350" i="12"/>
  <c r="K350" i="12" s="1"/>
  <c r="F349" i="12"/>
  <c r="K349" i="12" s="1"/>
  <c r="K348" i="12"/>
  <c r="F347" i="12"/>
  <c r="K347" i="12" s="1"/>
  <c r="F346" i="12"/>
  <c r="K346" i="12" s="1"/>
  <c r="F345" i="12"/>
  <c r="K345" i="12" s="1"/>
  <c r="K344" i="12"/>
  <c r="F343" i="12"/>
  <c r="K343" i="12" s="1"/>
  <c r="F342" i="12"/>
  <c r="K342" i="12" s="1"/>
  <c r="F341" i="12"/>
  <c r="K341" i="12" s="1"/>
  <c r="F340" i="12"/>
  <c r="K340" i="12" s="1"/>
  <c r="K339" i="12"/>
  <c r="F339" i="12"/>
  <c r="F338" i="12"/>
  <c r="K338" i="12" s="1"/>
  <c r="F337" i="12"/>
  <c r="K337" i="12" s="1"/>
  <c r="F336" i="12"/>
  <c r="K336" i="12" s="1"/>
  <c r="F335" i="12"/>
  <c r="K335" i="12" s="1"/>
  <c r="F334" i="12"/>
  <c r="K334" i="12" s="1"/>
  <c r="F333" i="12"/>
  <c r="K333" i="12" s="1"/>
  <c r="F332" i="12"/>
  <c r="K332" i="12" s="1"/>
  <c r="F331" i="12"/>
  <c r="K331" i="12" s="1"/>
  <c r="K330" i="12"/>
  <c r="F330" i="12"/>
  <c r="K329" i="12"/>
  <c r="K328" i="12"/>
  <c r="F327" i="12"/>
  <c r="K327" i="12" s="1"/>
  <c r="F326" i="12"/>
  <c r="K326" i="12" s="1"/>
  <c r="F325" i="12"/>
  <c r="K325" i="12" s="1"/>
  <c r="F324" i="12"/>
  <c r="K324" i="12" s="1"/>
  <c r="F322" i="12"/>
  <c r="K322" i="12" s="1"/>
  <c r="F321" i="12"/>
  <c r="K321" i="12" s="1"/>
  <c r="L328" i="11"/>
  <c r="L327" i="11"/>
  <c r="L326" i="11"/>
  <c r="L323" i="11"/>
  <c r="L322" i="11"/>
  <c r="L321" i="11"/>
  <c r="L320" i="11"/>
  <c r="L319" i="11"/>
  <c r="L318" i="11"/>
  <c r="L315" i="11"/>
  <c r="L314" i="11"/>
  <c r="L313" i="11"/>
  <c r="L312" i="11"/>
  <c r="L311" i="11"/>
  <c r="L310" i="11"/>
  <c r="L307" i="11"/>
  <c r="L306" i="11"/>
  <c r="L305" i="11"/>
  <c r="L304" i="11"/>
  <c r="L303" i="11"/>
  <c r="L302" i="11"/>
  <c r="L272" i="11"/>
  <c r="L271" i="11"/>
  <c r="L270" i="11"/>
  <c r="L269" i="11"/>
  <c r="I268" i="11"/>
  <c r="L268" i="11" s="1"/>
  <c r="I267" i="11"/>
  <c r="L267" i="11" s="1"/>
  <c r="I266" i="11"/>
  <c r="L266" i="11" s="1"/>
  <c r="I265" i="11"/>
  <c r="L265" i="11" s="1"/>
  <c r="I264" i="11"/>
  <c r="L264" i="11" s="1"/>
  <c r="L263" i="11"/>
  <c r="L262" i="11"/>
  <c r="L261" i="11"/>
  <c r="L259" i="11"/>
  <c r="L258" i="11"/>
  <c r="L257" i="11"/>
  <c r="L256" i="11"/>
  <c r="L255" i="11"/>
  <c r="L254" i="11"/>
  <c r="I253" i="11"/>
  <c r="L253" i="11" s="1"/>
  <c r="L252" i="11"/>
  <c r="L251" i="11"/>
  <c r="L250" i="11"/>
  <c r="I249" i="11"/>
  <c r="L249" i="11" s="1"/>
  <c r="L248" i="11"/>
  <c r="L247" i="11"/>
  <c r="L246" i="11"/>
  <c r="L245" i="11"/>
  <c r="L244" i="11"/>
  <c r="L243" i="11"/>
  <c r="L242" i="11"/>
  <c r="L240" i="11"/>
  <c r="L239" i="11"/>
  <c r="L238" i="11"/>
  <c r="L237" i="11"/>
  <c r="L236" i="11"/>
  <c r="L235" i="11"/>
  <c r="I234" i="11"/>
  <c r="L234" i="11" s="1"/>
  <c r="L233" i="11"/>
  <c r="L232" i="11"/>
  <c r="L231" i="11"/>
  <c r="I230" i="11"/>
  <c r="L230" i="11" s="1"/>
  <c r="L229" i="11"/>
  <c r="L228" i="11"/>
  <c r="L227" i="11"/>
  <c r="L226" i="11"/>
  <c r="L225" i="11"/>
  <c r="L224" i="11"/>
  <c r="L223" i="11"/>
  <c r="L221" i="11"/>
  <c r="L220" i="11"/>
  <c r="L219" i="11"/>
  <c r="L218" i="11"/>
  <c r="L217" i="11"/>
  <c r="L216" i="11"/>
  <c r="I215" i="11"/>
  <c r="L215" i="11" s="1"/>
  <c r="L214" i="11"/>
  <c r="L213" i="11"/>
  <c r="L212" i="11"/>
  <c r="L211" i="11"/>
  <c r="I211" i="11"/>
  <c r="L210" i="11"/>
  <c r="L209" i="11"/>
  <c r="L208" i="11"/>
  <c r="L207" i="11"/>
  <c r="L206" i="11"/>
  <c r="L205" i="11"/>
  <c r="L204" i="11"/>
  <c r="L200" i="11"/>
  <c r="L199" i="11"/>
  <c r="L198" i="11"/>
  <c r="L197" i="11"/>
  <c r="L196" i="11"/>
  <c r="L195" i="11"/>
  <c r="L192" i="11"/>
  <c r="L191" i="11"/>
  <c r="L190" i="11"/>
  <c r="L189" i="11"/>
  <c r="L188" i="11"/>
  <c r="L187" i="11"/>
  <c r="L186" i="11"/>
  <c r="L185" i="11"/>
  <c r="G184" i="11"/>
  <c r="L184" i="11" s="1"/>
  <c r="L183" i="11"/>
  <c r="L182" i="11"/>
  <c r="L181" i="11"/>
  <c r="G180" i="11"/>
  <c r="L180" i="11" s="1"/>
  <c r="L179" i="11"/>
  <c r="L178" i="11"/>
  <c r="L177" i="11"/>
  <c r="L176" i="11"/>
  <c r="L175" i="11"/>
  <c r="L174" i="11"/>
  <c r="G173" i="11"/>
  <c r="L173" i="11" s="1"/>
  <c r="L172" i="11"/>
  <c r="G171" i="11"/>
  <c r="L171" i="11" s="1"/>
  <c r="L170" i="11"/>
  <c r="L169" i="11"/>
  <c r="L167" i="11"/>
  <c r="L166" i="11"/>
  <c r="L165" i="11"/>
  <c r="L164" i="11"/>
  <c r="L163" i="11"/>
  <c r="L162" i="11"/>
  <c r="L161" i="11"/>
  <c r="L160" i="11"/>
  <c r="G159" i="11"/>
  <c r="L159" i="11" s="1"/>
  <c r="L158" i="11"/>
  <c r="L157" i="11"/>
  <c r="L156" i="11"/>
  <c r="G155" i="11"/>
  <c r="L155" i="11" s="1"/>
  <c r="L154" i="11"/>
  <c r="L153" i="11"/>
  <c r="L152" i="11"/>
  <c r="L151" i="11"/>
  <c r="L150" i="11"/>
  <c r="L149" i="11"/>
  <c r="G148" i="11"/>
  <c r="L148" i="11" s="1"/>
  <c r="L147" i="11"/>
  <c r="G146" i="11"/>
  <c r="L146" i="11" s="1"/>
  <c r="L145" i="11"/>
  <c r="L144" i="11"/>
  <c r="L142" i="11"/>
  <c r="L141" i="11"/>
  <c r="L140" i="11"/>
  <c r="L139" i="11"/>
  <c r="L138" i="11"/>
  <c r="L137" i="11"/>
  <c r="L136" i="11"/>
  <c r="L135" i="11"/>
  <c r="G134" i="11"/>
  <c r="L134" i="11" s="1"/>
  <c r="L133" i="11"/>
  <c r="L132" i="11"/>
  <c r="L131" i="11"/>
  <c r="G130" i="11"/>
  <c r="L130" i="11" s="1"/>
  <c r="L129" i="11"/>
  <c r="L128" i="11"/>
  <c r="L127" i="11"/>
  <c r="L126" i="11"/>
  <c r="L125" i="11"/>
  <c r="L124" i="11"/>
  <c r="G123" i="11"/>
  <c r="L123" i="11" s="1"/>
  <c r="L122" i="11"/>
  <c r="G121" i="11"/>
  <c r="L121" i="11" s="1"/>
  <c r="L120" i="11"/>
  <c r="L119" i="11"/>
  <c r="L115" i="11"/>
  <c r="L113" i="11"/>
  <c r="L112" i="11"/>
  <c r="L111" i="11"/>
  <c r="L110" i="11"/>
  <c r="L109" i="11"/>
  <c r="L108" i="11"/>
  <c r="L105" i="11"/>
  <c r="L103" i="11"/>
  <c r="L102" i="11"/>
  <c r="L101" i="11"/>
  <c r="L100" i="11"/>
  <c r="L99" i="11"/>
  <c r="L98" i="11"/>
  <c r="L94" i="11"/>
  <c r="L92" i="11"/>
  <c r="L91" i="11"/>
  <c r="L90" i="11"/>
  <c r="L89" i="11"/>
  <c r="L88" i="11"/>
  <c r="L87" i="11"/>
  <c r="L82" i="11"/>
  <c r="L81" i="11"/>
  <c r="L80" i="11"/>
  <c r="L77" i="11"/>
  <c r="L76" i="11"/>
  <c r="L75" i="11"/>
  <c r="L74" i="11"/>
  <c r="L72" i="11"/>
  <c r="L70" i="11"/>
  <c r="L69" i="11"/>
  <c r="L68" i="11"/>
  <c r="L67" i="11"/>
  <c r="L66" i="11"/>
  <c r="L65" i="11"/>
  <c r="L64" i="11"/>
  <c r="L63" i="11"/>
  <c r="L62" i="11"/>
  <c r="L61" i="11"/>
  <c r="L58" i="11"/>
  <c r="L57" i="11"/>
  <c r="L56" i="11"/>
  <c r="L55" i="11"/>
  <c r="L53" i="11"/>
  <c r="L51" i="11"/>
  <c r="L50" i="11"/>
  <c r="L49" i="11"/>
  <c r="L48" i="11"/>
  <c r="L47" i="11"/>
  <c r="L46" i="11"/>
  <c r="L45" i="11"/>
  <c r="L44" i="11"/>
  <c r="L43" i="11"/>
  <c r="L42" i="11"/>
  <c r="L39" i="11"/>
  <c r="L38" i="11"/>
  <c r="L37" i="11"/>
  <c r="L36" i="11"/>
  <c r="L35" i="11"/>
  <c r="L33" i="11"/>
  <c r="L31" i="11"/>
  <c r="L30" i="11"/>
  <c r="L29" i="11"/>
  <c r="L28" i="11"/>
  <c r="L27" i="11"/>
  <c r="L26" i="11"/>
  <c r="L25" i="11"/>
  <c r="L24" i="11"/>
  <c r="L23" i="11"/>
  <c r="L22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L614" i="11"/>
  <c r="L613" i="11"/>
  <c r="K609" i="11"/>
  <c r="K608" i="11"/>
  <c r="K607" i="11"/>
  <c r="K606" i="11"/>
  <c r="K604" i="11"/>
  <c r="K603" i="11"/>
  <c r="K602" i="11"/>
  <c r="K601" i="11"/>
  <c r="K600" i="11"/>
  <c r="K599" i="11"/>
  <c r="K598" i="11"/>
  <c r="K597" i="11"/>
  <c r="K596" i="11"/>
  <c r="K595" i="11"/>
  <c r="K594" i="11"/>
  <c r="K591" i="11"/>
  <c r="K590" i="11"/>
  <c r="K589" i="11"/>
  <c r="K588" i="11"/>
  <c r="K587" i="11"/>
  <c r="K585" i="11"/>
  <c r="K584" i="11"/>
  <c r="K583" i="11"/>
  <c r="K582" i="11"/>
  <c r="K581" i="11"/>
  <c r="K580" i="11"/>
  <c r="K579" i="11"/>
  <c r="K578" i="11"/>
  <c r="K577" i="11"/>
  <c r="K576" i="11"/>
  <c r="K575" i="11"/>
  <c r="K572" i="11"/>
  <c r="K571" i="11"/>
  <c r="K570" i="11"/>
  <c r="K569" i="11"/>
  <c r="K568" i="11"/>
  <c r="K567" i="11"/>
  <c r="K566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L547" i="11"/>
  <c r="G546" i="11"/>
  <c r="L546" i="11" s="1"/>
  <c r="G545" i="11"/>
  <c r="L545" i="11" s="1"/>
  <c r="G544" i="11"/>
  <c r="L544" i="11" s="1"/>
  <c r="L543" i="11"/>
  <c r="G543" i="11"/>
  <c r="G542" i="11"/>
  <c r="L542" i="11" s="1"/>
  <c r="G541" i="11"/>
  <c r="L541" i="11" s="1"/>
  <c r="G540" i="11"/>
  <c r="L540" i="11" s="1"/>
  <c r="G539" i="11"/>
  <c r="L539" i="11" s="1"/>
  <c r="G538" i="11"/>
  <c r="L538" i="11" s="1"/>
  <c r="I537" i="11"/>
  <c r="G537" i="11"/>
  <c r="G536" i="11"/>
  <c r="L536" i="11" s="1"/>
  <c r="G535" i="11"/>
  <c r="L535" i="11" s="1"/>
  <c r="G534" i="11"/>
  <c r="L534" i="11" s="1"/>
  <c r="G533" i="11"/>
  <c r="L533" i="11" s="1"/>
  <c r="G532" i="11"/>
  <c r="L532" i="11" s="1"/>
  <c r="I531" i="11"/>
  <c r="G531" i="11"/>
  <c r="G530" i="11"/>
  <c r="L530" i="11" s="1"/>
  <c r="G529" i="11"/>
  <c r="L529" i="11" s="1"/>
  <c r="G528" i="11"/>
  <c r="L528" i="11" s="1"/>
  <c r="G527" i="11"/>
  <c r="L527" i="11" s="1"/>
  <c r="G526" i="11"/>
  <c r="L526" i="11" s="1"/>
  <c r="I525" i="11"/>
  <c r="G525" i="11"/>
  <c r="G524" i="11"/>
  <c r="L524" i="11" s="1"/>
  <c r="G523" i="11"/>
  <c r="L523" i="11" s="1"/>
  <c r="G522" i="11"/>
  <c r="L522" i="11" s="1"/>
  <c r="L521" i="11"/>
  <c r="G521" i="11"/>
  <c r="G520" i="11"/>
  <c r="L520" i="11" s="1"/>
  <c r="G519" i="11"/>
  <c r="L519" i="11" s="1"/>
  <c r="G518" i="11"/>
  <c r="L518" i="11" s="1"/>
  <c r="G517" i="11"/>
  <c r="L517" i="11" s="1"/>
  <c r="G516" i="11"/>
  <c r="L516" i="11" s="1"/>
  <c r="G515" i="11"/>
  <c r="L515" i="11" s="1"/>
  <c r="G514" i="11"/>
  <c r="L514" i="11" s="1"/>
  <c r="G513" i="11"/>
  <c r="L513" i="11" s="1"/>
  <c r="G512" i="11"/>
  <c r="L512" i="11" s="1"/>
  <c r="G511" i="11"/>
  <c r="L511" i="11" s="1"/>
  <c r="G510" i="11"/>
  <c r="L510" i="11" s="1"/>
  <c r="G509" i="11"/>
  <c r="L509" i="11" s="1"/>
  <c r="G508" i="11"/>
  <c r="L508" i="11" s="1"/>
  <c r="G507" i="11"/>
  <c r="L507" i="11" s="1"/>
  <c r="G506" i="11"/>
  <c r="L506" i="11" s="1"/>
  <c r="G505" i="11"/>
  <c r="L505" i="11" s="1"/>
  <c r="G504" i="11"/>
  <c r="L504" i="11" s="1"/>
  <c r="L503" i="11"/>
  <c r="G503" i="11"/>
  <c r="G502" i="11"/>
  <c r="L502" i="11" s="1"/>
  <c r="L501" i="11"/>
  <c r="G501" i="11"/>
  <c r="G500" i="11"/>
  <c r="L500" i="11" s="1"/>
  <c r="G499" i="11"/>
  <c r="L499" i="11" s="1"/>
  <c r="G498" i="11"/>
  <c r="L498" i="11" s="1"/>
  <c r="L497" i="11"/>
  <c r="G497" i="11"/>
  <c r="G496" i="11"/>
  <c r="L496" i="11" s="1"/>
  <c r="G495" i="11"/>
  <c r="L495" i="11" s="1"/>
  <c r="L494" i="11"/>
  <c r="G494" i="11"/>
  <c r="G493" i="11"/>
  <c r="L493" i="11" s="1"/>
  <c r="G492" i="11"/>
  <c r="L492" i="11" s="1"/>
  <c r="G491" i="11"/>
  <c r="L491" i="11" s="1"/>
  <c r="I490" i="11"/>
  <c r="G490" i="11"/>
  <c r="L490" i="11" s="1"/>
  <c r="G489" i="11"/>
  <c r="L489" i="11" s="1"/>
  <c r="G488" i="11"/>
  <c r="L488" i="11" s="1"/>
  <c r="L486" i="11"/>
  <c r="G485" i="11"/>
  <c r="L485" i="11" s="1"/>
  <c r="G484" i="11"/>
  <c r="L484" i="11" s="1"/>
  <c r="G483" i="11"/>
  <c r="L483" i="11" s="1"/>
  <c r="G482" i="11"/>
  <c r="L482" i="11" s="1"/>
  <c r="G481" i="11"/>
  <c r="L481" i="11" s="1"/>
  <c r="G480" i="11"/>
  <c r="L480" i="11" s="1"/>
  <c r="G479" i="11"/>
  <c r="L479" i="11" s="1"/>
  <c r="G478" i="11"/>
  <c r="L478" i="11" s="1"/>
  <c r="G477" i="11"/>
  <c r="L477" i="11" s="1"/>
  <c r="I476" i="11"/>
  <c r="G476" i="11"/>
  <c r="L476" i="11" s="1"/>
  <c r="G475" i="11"/>
  <c r="L475" i="11" s="1"/>
  <c r="G474" i="11"/>
  <c r="L474" i="11" s="1"/>
  <c r="G473" i="11"/>
  <c r="L473" i="11" s="1"/>
  <c r="G472" i="11"/>
  <c r="L472" i="11" s="1"/>
  <c r="G471" i="11"/>
  <c r="L471" i="11" s="1"/>
  <c r="I470" i="11"/>
  <c r="G470" i="11"/>
  <c r="G469" i="11"/>
  <c r="L469" i="11" s="1"/>
  <c r="L468" i="11"/>
  <c r="G468" i="11"/>
  <c r="G467" i="11"/>
  <c r="L467" i="11" s="1"/>
  <c r="G466" i="11"/>
  <c r="L466" i="11" s="1"/>
  <c r="G465" i="11"/>
  <c r="L465" i="11" s="1"/>
  <c r="I464" i="11"/>
  <c r="G464" i="11"/>
  <c r="G463" i="11"/>
  <c r="L463" i="11" s="1"/>
  <c r="G462" i="11"/>
  <c r="L462" i="11" s="1"/>
  <c r="G461" i="11"/>
  <c r="L461" i="11" s="1"/>
  <c r="G460" i="11"/>
  <c r="L460" i="11" s="1"/>
  <c r="G459" i="11"/>
  <c r="L459" i="11" s="1"/>
  <c r="G458" i="11"/>
  <c r="L458" i="11" s="1"/>
  <c r="L457" i="11"/>
  <c r="G457" i="11"/>
  <c r="G456" i="11"/>
  <c r="L456" i="11" s="1"/>
  <c r="G455" i="11"/>
  <c r="L455" i="11" s="1"/>
  <c r="G454" i="11"/>
  <c r="L454" i="11" s="1"/>
  <c r="G453" i="11"/>
  <c r="L453" i="11" s="1"/>
  <c r="G452" i="11"/>
  <c r="L452" i="11" s="1"/>
  <c r="G451" i="11"/>
  <c r="L451" i="11" s="1"/>
  <c r="G450" i="11"/>
  <c r="L450" i="11" s="1"/>
  <c r="G449" i="11"/>
  <c r="L449" i="11" s="1"/>
  <c r="G448" i="11"/>
  <c r="L448" i="11" s="1"/>
  <c r="G447" i="11"/>
  <c r="L447" i="11" s="1"/>
  <c r="G446" i="11"/>
  <c r="L446" i="11" s="1"/>
  <c r="G445" i="11"/>
  <c r="L445" i="11" s="1"/>
  <c r="L444" i="11"/>
  <c r="G444" i="11"/>
  <c r="G443" i="11"/>
  <c r="L443" i="11" s="1"/>
  <c r="G442" i="11"/>
  <c r="L442" i="11" s="1"/>
  <c r="L441" i="11"/>
  <c r="G441" i="11"/>
  <c r="G440" i="11"/>
  <c r="L440" i="11" s="1"/>
  <c r="G439" i="11"/>
  <c r="L439" i="11" s="1"/>
  <c r="G438" i="11"/>
  <c r="L438" i="11" s="1"/>
  <c r="G437" i="11"/>
  <c r="L437" i="11" s="1"/>
  <c r="G436" i="11"/>
  <c r="L436" i="11" s="1"/>
  <c r="G435" i="11"/>
  <c r="L435" i="11" s="1"/>
  <c r="G434" i="11"/>
  <c r="L434" i="11" s="1"/>
  <c r="G433" i="11"/>
  <c r="L433" i="11" s="1"/>
  <c r="G432" i="11"/>
  <c r="L432" i="11" s="1"/>
  <c r="G431" i="11"/>
  <c r="L431" i="11" s="1"/>
  <c r="G430" i="11"/>
  <c r="L430" i="11" s="1"/>
  <c r="I429" i="11"/>
  <c r="G429" i="11"/>
  <c r="G428" i="11"/>
  <c r="L428" i="11" s="1"/>
  <c r="G427" i="11"/>
  <c r="L427" i="11" s="1"/>
  <c r="L425" i="11"/>
  <c r="L424" i="11"/>
  <c r="G424" i="11"/>
  <c r="G423" i="11"/>
  <c r="L423" i="11" s="1"/>
  <c r="G422" i="11"/>
  <c r="L422" i="11" s="1"/>
  <c r="G421" i="11"/>
  <c r="L421" i="11" s="1"/>
  <c r="G420" i="11"/>
  <c r="L420" i="11" s="1"/>
  <c r="G419" i="11"/>
  <c r="L419" i="11" s="1"/>
  <c r="G418" i="11"/>
  <c r="L418" i="11" s="1"/>
  <c r="G417" i="11"/>
  <c r="L417" i="11" s="1"/>
  <c r="L416" i="11"/>
  <c r="G416" i="11"/>
  <c r="I415" i="11"/>
  <c r="G415" i="11"/>
  <c r="G414" i="11"/>
  <c r="L414" i="11" s="1"/>
  <c r="L413" i="11"/>
  <c r="G413" i="11"/>
  <c r="L412" i="11"/>
  <c r="G412" i="11"/>
  <c r="G411" i="11"/>
  <c r="L411" i="11" s="1"/>
  <c r="G410" i="11"/>
  <c r="L410" i="11" s="1"/>
  <c r="I409" i="11"/>
  <c r="G409" i="11"/>
  <c r="G408" i="11"/>
  <c r="L408" i="11" s="1"/>
  <c r="G407" i="11"/>
  <c r="L407" i="11" s="1"/>
  <c r="G406" i="11"/>
  <c r="L406" i="11" s="1"/>
  <c r="G405" i="11"/>
  <c r="L405" i="11" s="1"/>
  <c r="G404" i="11"/>
  <c r="L404" i="11" s="1"/>
  <c r="I403" i="11"/>
  <c r="G403" i="11"/>
  <c r="G402" i="11"/>
  <c r="L402" i="11" s="1"/>
  <c r="G401" i="11"/>
  <c r="L401" i="11" s="1"/>
  <c r="G400" i="11"/>
  <c r="L400" i="11" s="1"/>
  <c r="G399" i="11"/>
  <c r="L399" i="11" s="1"/>
  <c r="G398" i="11"/>
  <c r="L398" i="11" s="1"/>
  <c r="G397" i="11"/>
  <c r="L397" i="11" s="1"/>
  <c r="G396" i="11"/>
  <c r="L396" i="11" s="1"/>
  <c r="G395" i="11"/>
  <c r="L395" i="11" s="1"/>
  <c r="G394" i="11"/>
  <c r="L394" i="11" s="1"/>
  <c r="G393" i="11"/>
  <c r="L393" i="11" s="1"/>
  <c r="G392" i="11"/>
  <c r="L392" i="11" s="1"/>
  <c r="G391" i="11"/>
  <c r="L391" i="11" s="1"/>
  <c r="G390" i="11"/>
  <c r="L390" i="11" s="1"/>
  <c r="G389" i="11"/>
  <c r="L389" i="11" s="1"/>
  <c r="G388" i="11"/>
  <c r="L388" i="11" s="1"/>
  <c r="G387" i="11"/>
  <c r="L387" i="11" s="1"/>
  <c r="G386" i="11"/>
  <c r="L386" i="11" s="1"/>
  <c r="G385" i="11"/>
  <c r="L385" i="11" s="1"/>
  <c r="G384" i="11"/>
  <c r="L384" i="11" s="1"/>
  <c r="G383" i="11"/>
  <c r="L383" i="11" s="1"/>
  <c r="G382" i="11"/>
  <c r="L382" i="11" s="1"/>
  <c r="G381" i="11"/>
  <c r="L381" i="11" s="1"/>
  <c r="G380" i="11"/>
  <c r="L380" i="11" s="1"/>
  <c r="G379" i="11"/>
  <c r="L379" i="11" s="1"/>
  <c r="G378" i="11"/>
  <c r="L378" i="11" s="1"/>
  <c r="G377" i="11"/>
  <c r="L377" i="11" s="1"/>
  <c r="G376" i="11"/>
  <c r="L376" i="11" s="1"/>
  <c r="G375" i="11"/>
  <c r="L375" i="11" s="1"/>
  <c r="G374" i="11"/>
  <c r="L374" i="11" s="1"/>
  <c r="G373" i="11"/>
  <c r="L373" i="11" s="1"/>
  <c r="G372" i="11"/>
  <c r="L372" i="11" s="1"/>
  <c r="G371" i="11"/>
  <c r="L371" i="11" s="1"/>
  <c r="G370" i="11"/>
  <c r="L370" i="11" s="1"/>
  <c r="G369" i="11"/>
  <c r="L369" i="11" s="1"/>
  <c r="I368" i="11"/>
  <c r="G368" i="11"/>
  <c r="L368" i="11" s="1"/>
  <c r="G367" i="11"/>
  <c r="L367" i="11" s="1"/>
  <c r="G366" i="11"/>
  <c r="L366" i="11" s="1"/>
  <c r="L364" i="11"/>
  <c r="G362" i="11"/>
  <c r="L362" i="11" s="1"/>
  <c r="G361" i="11"/>
  <c r="L361" i="11" s="1"/>
  <c r="G360" i="11"/>
  <c r="L360" i="11" s="1"/>
  <c r="L359" i="11"/>
  <c r="G358" i="11"/>
  <c r="L358" i="11" s="1"/>
  <c r="G357" i="11"/>
  <c r="L357" i="11" s="1"/>
  <c r="L356" i="11"/>
  <c r="G355" i="11"/>
  <c r="L355" i="11" s="1"/>
  <c r="G354" i="11"/>
  <c r="L354" i="11" s="1"/>
  <c r="G353" i="11"/>
  <c r="L353" i="11" s="1"/>
  <c r="L352" i="11"/>
  <c r="L351" i="11"/>
  <c r="G351" i="11"/>
  <c r="G350" i="11"/>
  <c r="L350" i="11" s="1"/>
  <c r="G349" i="11"/>
  <c r="L349" i="11" s="1"/>
  <c r="G348" i="11"/>
  <c r="L348" i="11" s="1"/>
  <c r="G347" i="11"/>
  <c r="L347" i="11" s="1"/>
  <c r="G346" i="11"/>
  <c r="L346" i="11" s="1"/>
  <c r="G345" i="11"/>
  <c r="L345" i="11" s="1"/>
  <c r="G344" i="11"/>
  <c r="L344" i="11" s="1"/>
  <c r="G343" i="11"/>
  <c r="L343" i="11" s="1"/>
  <c r="G342" i="11"/>
  <c r="L342" i="11" s="1"/>
  <c r="G341" i="11"/>
  <c r="L341" i="11" s="1"/>
  <c r="G340" i="11"/>
  <c r="L340" i="11" s="1"/>
  <c r="G339" i="11"/>
  <c r="L339" i="11" s="1"/>
  <c r="G338" i="11"/>
  <c r="L338" i="11" s="1"/>
  <c r="L337" i="11"/>
  <c r="L336" i="11"/>
  <c r="G335" i="11"/>
  <c r="L335" i="11" s="1"/>
  <c r="L334" i="11"/>
  <c r="G334" i="11"/>
  <c r="G333" i="11"/>
  <c r="L333" i="11" s="1"/>
  <c r="G332" i="11"/>
  <c r="L332" i="11" s="1"/>
  <c r="G330" i="11"/>
  <c r="L330" i="11" s="1"/>
  <c r="G329" i="11"/>
  <c r="L329" i="11" s="1"/>
  <c r="L246" i="10"/>
  <c r="L245" i="10"/>
  <c r="L244" i="10"/>
  <c r="L243" i="10"/>
  <c r="L242" i="10"/>
  <c r="L241" i="10"/>
  <c r="L238" i="10"/>
  <c r="L237" i="10"/>
  <c r="L236" i="10"/>
  <c r="L235" i="10"/>
  <c r="L234" i="10"/>
  <c r="L231" i="10"/>
  <c r="L230" i="10"/>
  <c r="L229" i="10"/>
  <c r="L228" i="10"/>
  <c r="L227" i="10"/>
  <c r="L224" i="10"/>
  <c r="L223" i="10"/>
  <c r="L222" i="10"/>
  <c r="L221" i="10"/>
  <c r="L220" i="10"/>
  <c r="L190" i="10"/>
  <c r="L189" i="10"/>
  <c r="L188" i="10"/>
  <c r="L187" i="10"/>
  <c r="L186" i="10"/>
  <c r="L185" i="10"/>
  <c r="L184" i="10"/>
  <c r="L183" i="10"/>
  <c r="L181" i="10"/>
  <c r="L180" i="10"/>
  <c r="L179" i="10"/>
  <c r="L178" i="10"/>
  <c r="I177" i="10"/>
  <c r="L177" i="10" s="1"/>
  <c r="L175" i="10"/>
  <c r="L174" i="10"/>
  <c r="L173" i="10"/>
  <c r="L172" i="10"/>
  <c r="L171" i="10"/>
  <c r="L170" i="10"/>
  <c r="L169" i="10"/>
  <c r="L167" i="10"/>
  <c r="L166" i="10"/>
  <c r="L165" i="10"/>
  <c r="L164" i="10"/>
  <c r="I163" i="10"/>
  <c r="L163" i="10" s="1"/>
  <c r="L161" i="10"/>
  <c r="L160" i="10"/>
  <c r="L159" i="10"/>
  <c r="L158" i="10"/>
  <c r="L157" i="10"/>
  <c r="L156" i="10"/>
  <c r="L155" i="10"/>
  <c r="L153" i="10"/>
  <c r="L152" i="10"/>
  <c r="L151" i="10"/>
  <c r="L150" i="10"/>
  <c r="I149" i="10"/>
  <c r="L149" i="10" s="1"/>
  <c r="L147" i="10"/>
  <c r="L146" i="10"/>
  <c r="L145" i="10"/>
  <c r="L144" i="10"/>
  <c r="L143" i="10"/>
  <c r="L142" i="10"/>
  <c r="L141" i="10"/>
  <c r="L139" i="10"/>
  <c r="L138" i="10"/>
  <c r="L137" i="10"/>
  <c r="L136" i="10"/>
  <c r="I135" i="10"/>
  <c r="L135" i="10" s="1"/>
  <c r="G131" i="10"/>
  <c r="L131" i="10" s="1"/>
  <c r="L130" i="10"/>
  <c r="L129" i="10"/>
  <c r="L128" i="10"/>
  <c r="L127" i="10"/>
  <c r="L126" i="10"/>
  <c r="L125" i="10"/>
  <c r="L124" i="10"/>
  <c r="L123" i="10"/>
  <c r="L122" i="10"/>
  <c r="L121" i="10"/>
  <c r="L120" i="10"/>
  <c r="L118" i="10"/>
  <c r="G118" i="10"/>
  <c r="L117" i="10"/>
  <c r="L116" i="10"/>
  <c r="L115" i="10"/>
  <c r="G114" i="10"/>
  <c r="L114" i="10" s="1"/>
  <c r="L113" i="10"/>
  <c r="L112" i="10"/>
  <c r="G111" i="10"/>
  <c r="L111" i="10" s="1"/>
  <c r="L110" i="10"/>
  <c r="L109" i="10"/>
  <c r="L108" i="10"/>
  <c r="L107" i="10"/>
  <c r="G105" i="10"/>
  <c r="L105" i="10" s="1"/>
  <c r="L104" i="10"/>
  <c r="L103" i="10"/>
  <c r="L102" i="10"/>
  <c r="G101" i="10"/>
  <c r="L101" i="10" s="1"/>
  <c r="L100" i="10"/>
  <c r="L99" i="10"/>
  <c r="G98" i="10"/>
  <c r="L98" i="10" s="1"/>
  <c r="L97" i="10"/>
  <c r="L96" i="10"/>
  <c r="L95" i="10"/>
  <c r="L94" i="10"/>
  <c r="G92" i="10"/>
  <c r="L92" i="10" s="1"/>
  <c r="L91" i="10"/>
  <c r="L90" i="10"/>
  <c r="L89" i="10"/>
  <c r="G88" i="10"/>
  <c r="L88" i="10" s="1"/>
  <c r="L87" i="10"/>
  <c r="L86" i="10"/>
  <c r="G85" i="10"/>
  <c r="L85" i="10" s="1"/>
  <c r="L84" i="10"/>
  <c r="L83" i="10"/>
  <c r="L82" i="10"/>
  <c r="L81" i="10"/>
  <c r="L77" i="10"/>
  <c r="L76" i="10"/>
  <c r="I75" i="10"/>
  <c r="L75" i="10" s="1"/>
  <c r="L74" i="10"/>
  <c r="I73" i="10"/>
  <c r="L73" i="10" s="1"/>
  <c r="L72" i="10"/>
  <c r="L70" i="10"/>
  <c r="L69" i="10"/>
  <c r="I68" i="10"/>
  <c r="L68" i="10" s="1"/>
  <c r="L67" i="10"/>
  <c r="I66" i="10"/>
  <c r="L66" i="10" s="1"/>
  <c r="L65" i="10"/>
  <c r="L63" i="10"/>
  <c r="L62" i="10"/>
  <c r="I61" i="10"/>
  <c r="L61" i="10" s="1"/>
  <c r="L60" i="10"/>
  <c r="I59" i="10"/>
  <c r="L59" i="10" s="1"/>
  <c r="L58" i="10"/>
  <c r="L56" i="10"/>
  <c r="L55" i="10"/>
  <c r="I54" i="10"/>
  <c r="L54" i="10" s="1"/>
  <c r="L53" i="10"/>
  <c r="I52" i="10"/>
  <c r="L52" i="10" s="1"/>
  <c r="L51" i="10"/>
  <c r="I48" i="10"/>
  <c r="L48" i="10" s="1"/>
  <c r="I47" i="10"/>
  <c r="L47" i="10" s="1"/>
  <c r="I46" i="10"/>
  <c r="L46" i="10" s="1"/>
  <c r="I45" i="10"/>
  <c r="L45" i="10" s="1"/>
  <c r="I44" i="10"/>
  <c r="L44" i="10" s="1"/>
  <c r="L43" i="10"/>
  <c r="I43" i="10"/>
  <c r="I41" i="10"/>
  <c r="L41" i="10" s="1"/>
  <c r="I40" i="10"/>
  <c r="L40" i="10" s="1"/>
  <c r="L39" i="10"/>
  <c r="I39" i="10"/>
  <c r="I38" i="10"/>
  <c r="L38" i="10" s="1"/>
  <c r="I37" i="10"/>
  <c r="L37" i="10" s="1"/>
  <c r="I36" i="10"/>
  <c r="L36" i="10" s="1"/>
  <c r="I34" i="10"/>
  <c r="L34" i="10" s="1"/>
  <c r="I33" i="10"/>
  <c r="L33" i="10" s="1"/>
  <c r="I32" i="10"/>
  <c r="L32" i="10" s="1"/>
  <c r="I31" i="10"/>
  <c r="L31" i="10" s="1"/>
  <c r="I30" i="10"/>
  <c r="L30" i="10" s="1"/>
  <c r="L29" i="10"/>
  <c r="I29" i="10"/>
  <c r="I27" i="10"/>
  <c r="L27" i="10" s="1"/>
  <c r="I26" i="10"/>
  <c r="L26" i="10" s="1"/>
  <c r="I25" i="10"/>
  <c r="L25" i="10" s="1"/>
  <c r="I24" i="10"/>
  <c r="L24" i="10" s="1"/>
  <c r="I23" i="10"/>
  <c r="L23" i="10" s="1"/>
  <c r="I22" i="10"/>
  <c r="L22" i="10" s="1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K527" i="10"/>
  <c r="K526" i="10"/>
  <c r="K525" i="10"/>
  <c r="K524" i="10"/>
  <c r="K522" i="10"/>
  <c r="K521" i="10"/>
  <c r="K520" i="10"/>
  <c r="K519" i="10"/>
  <c r="K518" i="10"/>
  <c r="K517" i="10"/>
  <c r="K516" i="10"/>
  <c r="K515" i="10"/>
  <c r="K514" i="10"/>
  <c r="K513" i="10"/>
  <c r="K512" i="10"/>
  <c r="K509" i="10"/>
  <c r="K508" i="10"/>
  <c r="K507" i="10"/>
  <c r="K506" i="10"/>
  <c r="K505" i="10"/>
  <c r="K503" i="10"/>
  <c r="K502" i="10"/>
  <c r="K501" i="10"/>
  <c r="K500" i="10"/>
  <c r="K499" i="10"/>
  <c r="K498" i="10"/>
  <c r="K497" i="10"/>
  <c r="K496" i="10"/>
  <c r="K495" i="10"/>
  <c r="K494" i="10"/>
  <c r="K493" i="10"/>
  <c r="K490" i="10"/>
  <c r="K489" i="10"/>
  <c r="K488" i="10"/>
  <c r="K487" i="10"/>
  <c r="K486" i="10"/>
  <c r="K485" i="10"/>
  <c r="K484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L465" i="10"/>
  <c r="G464" i="10"/>
  <c r="L464" i="10" s="1"/>
  <c r="G463" i="10"/>
  <c r="L463" i="10" s="1"/>
  <c r="G462" i="10"/>
  <c r="L462" i="10" s="1"/>
  <c r="G461" i="10"/>
  <c r="L461" i="10" s="1"/>
  <c r="G460" i="10"/>
  <c r="L460" i="10" s="1"/>
  <c r="G459" i="10"/>
  <c r="L459" i="10" s="1"/>
  <c r="G458" i="10"/>
  <c r="L458" i="10" s="1"/>
  <c r="G457" i="10"/>
  <c r="L457" i="10" s="1"/>
  <c r="G456" i="10"/>
  <c r="L456" i="10" s="1"/>
  <c r="I455" i="10"/>
  <c r="G455" i="10"/>
  <c r="G454" i="10"/>
  <c r="L454" i="10" s="1"/>
  <c r="G453" i="10"/>
  <c r="L453" i="10" s="1"/>
  <c r="L452" i="10"/>
  <c r="G452" i="10"/>
  <c r="G451" i="10"/>
  <c r="L451" i="10" s="1"/>
  <c r="G450" i="10"/>
  <c r="L450" i="10" s="1"/>
  <c r="I449" i="10"/>
  <c r="G449" i="10"/>
  <c r="G448" i="10"/>
  <c r="L448" i="10" s="1"/>
  <c r="G447" i="10"/>
  <c r="L447" i="10" s="1"/>
  <c r="G446" i="10"/>
  <c r="L446" i="10" s="1"/>
  <c r="G445" i="10"/>
  <c r="L445" i="10" s="1"/>
  <c r="G444" i="10"/>
  <c r="L444" i="10" s="1"/>
  <c r="I443" i="10"/>
  <c r="G443" i="10"/>
  <c r="L442" i="10"/>
  <c r="G442" i="10"/>
  <c r="G441" i="10"/>
  <c r="L441" i="10" s="1"/>
  <c r="G440" i="10"/>
  <c r="L440" i="10" s="1"/>
  <c r="G439" i="10"/>
  <c r="L439" i="10" s="1"/>
  <c r="G438" i="10"/>
  <c r="L438" i="10" s="1"/>
  <c r="G437" i="10"/>
  <c r="L437" i="10" s="1"/>
  <c r="G436" i="10"/>
  <c r="L436" i="10" s="1"/>
  <c r="G435" i="10"/>
  <c r="L435" i="10" s="1"/>
  <c r="G434" i="10"/>
  <c r="L434" i="10" s="1"/>
  <c r="G433" i="10"/>
  <c r="L433" i="10" s="1"/>
  <c r="G432" i="10"/>
  <c r="L432" i="10" s="1"/>
  <c r="G431" i="10"/>
  <c r="L431" i="10" s="1"/>
  <c r="G430" i="10"/>
  <c r="L430" i="10" s="1"/>
  <c r="G429" i="10"/>
  <c r="L429" i="10" s="1"/>
  <c r="G428" i="10"/>
  <c r="L428" i="10" s="1"/>
  <c r="G427" i="10"/>
  <c r="L427" i="10" s="1"/>
  <c r="G426" i="10"/>
  <c r="L426" i="10" s="1"/>
  <c r="G425" i="10"/>
  <c r="L425" i="10" s="1"/>
  <c r="G424" i="10"/>
  <c r="L424" i="10" s="1"/>
  <c r="G423" i="10"/>
  <c r="L423" i="10" s="1"/>
  <c r="G422" i="10"/>
  <c r="L422" i="10" s="1"/>
  <c r="G421" i="10"/>
  <c r="L421" i="10" s="1"/>
  <c r="G420" i="10"/>
  <c r="L420" i="10" s="1"/>
  <c r="G419" i="10"/>
  <c r="L419" i="10" s="1"/>
  <c r="G418" i="10"/>
  <c r="L418" i="10" s="1"/>
  <c r="G417" i="10"/>
  <c r="L417" i="10" s="1"/>
  <c r="G416" i="10"/>
  <c r="L416" i="10" s="1"/>
  <c r="G415" i="10"/>
  <c r="L415" i="10" s="1"/>
  <c r="G414" i="10"/>
  <c r="L414" i="10" s="1"/>
  <c r="G413" i="10"/>
  <c r="L413" i="10" s="1"/>
  <c r="L412" i="10"/>
  <c r="G412" i="10"/>
  <c r="G411" i="10"/>
  <c r="L411" i="10" s="1"/>
  <c r="G410" i="10"/>
  <c r="L410" i="10" s="1"/>
  <c r="G409" i="10"/>
  <c r="L409" i="10" s="1"/>
  <c r="I408" i="10"/>
  <c r="G408" i="10"/>
  <c r="L408" i="10" s="1"/>
  <c r="G407" i="10"/>
  <c r="L407" i="10" s="1"/>
  <c r="G406" i="10"/>
  <c r="L406" i="10" s="1"/>
  <c r="L404" i="10"/>
  <c r="G403" i="10"/>
  <c r="L403" i="10" s="1"/>
  <c r="G402" i="10"/>
  <c r="L402" i="10" s="1"/>
  <c r="G401" i="10"/>
  <c r="L401" i="10" s="1"/>
  <c r="G400" i="10"/>
  <c r="L400" i="10" s="1"/>
  <c r="G399" i="10"/>
  <c r="L399" i="10" s="1"/>
  <c r="G398" i="10"/>
  <c r="L398" i="10" s="1"/>
  <c r="G397" i="10"/>
  <c r="L397" i="10" s="1"/>
  <c r="G396" i="10"/>
  <c r="L396" i="10" s="1"/>
  <c r="G395" i="10"/>
  <c r="L395" i="10" s="1"/>
  <c r="I394" i="10"/>
  <c r="G394" i="10"/>
  <c r="G393" i="10"/>
  <c r="L393" i="10" s="1"/>
  <c r="G392" i="10"/>
  <c r="L392" i="10" s="1"/>
  <c r="G391" i="10"/>
  <c r="L391" i="10" s="1"/>
  <c r="G390" i="10"/>
  <c r="L390" i="10" s="1"/>
  <c r="G389" i="10"/>
  <c r="L389" i="10" s="1"/>
  <c r="I388" i="10"/>
  <c r="G388" i="10"/>
  <c r="L388" i="10" s="1"/>
  <c r="G387" i="10"/>
  <c r="L387" i="10" s="1"/>
  <c r="G386" i="10"/>
  <c r="L386" i="10" s="1"/>
  <c r="G385" i="10"/>
  <c r="L385" i="10" s="1"/>
  <c r="G384" i="10"/>
  <c r="L384" i="10" s="1"/>
  <c r="G383" i="10"/>
  <c r="L383" i="10" s="1"/>
  <c r="I382" i="10"/>
  <c r="G382" i="10"/>
  <c r="G381" i="10"/>
  <c r="L381" i="10" s="1"/>
  <c r="G380" i="10"/>
  <c r="L380" i="10" s="1"/>
  <c r="G379" i="10"/>
  <c r="L379" i="10" s="1"/>
  <c r="G378" i="10"/>
  <c r="L378" i="10" s="1"/>
  <c r="G377" i="10"/>
  <c r="L377" i="10" s="1"/>
  <c r="G376" i="10"/>
  <c r="L376" i="10" s="1"/>
  <c r="G375" i="10"/>
  <c r="L375" i="10" s="1"/>
  <c r="G374" i="10"/>
  <c r="L374" i="10" s="1"/>
  <c r="G373" i="10"/>
  <c r="L373" i="10" s="1"/>
  <c r="G372" i="10"/>
  <c r="L372" i="10" s="1"/>
  <c r="G371" i="10"/>
  <c r="L371" i="10" s="1"/>
  <c r="G370" i="10"/>
  <c r="L370" i="10" s="1"/>
  <c r="G369" i="10"/>
  <c r="L369" i="10" s="1"/>
  <c r="G368" i="10"/>
  <c r="L368" i="10" s="1"/>
  <c r="G367" i="10"/>
  <c r="L367" i="10" s="1"/>
  <c r="G366" i="10"/>
  <c r="L366" i="10" s="1"/>
  <c r="G365" i="10"/>
  <c r="L365" i="10" s="1"/>
  <c r="G364" i="10"/>
  <c r="L364" i="10" s="1"/>
  <c r="G363" i="10"/>
  <c r="L363" i="10" s="1"/>
  <c r="G362" i="10"/>
  <c r="L362" i="10" s="1"/>
  <c r="G361" i="10"/>
  <c r="L361" i="10" s="1"/>
  <c r="G360" i="10"/>
  <c r="L360" i="10" s="1"/>
  <c r="G359" i="10"/>
  <c r="L359" i="10" s="1"/>
  <c r="G358" i="10"/>
  <c r="L358" i="10" s="1"/>
  <c r="G357" i="10"/>
  <c r="L357" i="10" s="1"/>
  <c r="G356" i="10"/>
  <c r="L356" i="10" s="1"/>
  <c r="L355" i="10"/>
  <c r="G355" i="10"/>
  <c r="G354" i="10"/>
  <c r="L354" i="10" s="1"/>
  <c r="G353" i="10"/>
  <c r="L353" i="10" s="1"/>
  <c r="G352" i="10"/>
  <c r="L352" i="10" s="1"/>
  <c r="G351" i="10"/>
  <c r="L351" i="10" s="1"/>
  <c r="G350" i="10"/>
  <c r="L350" i="10" s="1"/>
  <c r="G349" i="10"/>
  <c r="L349" i="10" s="1"/>
  <c r="G348" i="10"/>
  <c r="L348" i="10" s="1"/>
  <c r="I347" i="10"/>
  <c r="G347" i="10"/>
  <c r="G346" i="10"/>
  <c r="L346" i="10" s="1"/>
  <c r="G345" i="10"/>
  <c r="L345" i="10" s="1"/>
  <c r="L343" i="10"/>
  <c r="G342" i="10"/>
  <c r="L342" i="10" s="1"/>
  <c r="G341" i="10"/>
  <c r="L341" i="10" s="1"/>
  <c r="G340" i="10"/>
  <c r="L340" i="10" s="1"/>
  <c r="G339" i="10"/>
  <c r="L339" i="10" s="1"/>
  <c r="G338" i="10"/>
  <c r="L338" i="10" s="1"/>
  <c r="G337" i="10"/>
  <c r="L337" i="10" s="1"/>
  <c r="G336" i="10"/>
  <c r="L336" i="10" s="1"/>
  <c r="G335" i="10"/>
  <c r="L335" i="10" s="1"/>
  <c r="G334" i="10"/>
  <c r="L334" i="10" s="1"/>
  <c r="I333" i="10"/>
  <c r="G333" i="10"/>
  <c r="L333" i="10" s="1"/>
  <c r="G332" i="10"/>
  <c r="L332" i="10" s="1"/>
  <c r="G331" i="10"/>
  <c r="L331" i="10" s="1"/>
  <c r="G330" i="10"/>
  <c r="L330" i="10" s="1"/>
  <c r="G329" i="10"/>
  <c r="L329" i="10" s="1"/>
  <c r="G328" i="10"/>
  <c r="L328" i="10" s="1"/>
  <c r="I327" i="10"/>
  <c r="G327" i="10"/>
  <c r="L326" i="10"/>
  <c r="G326" i="10"/>
  <c r="G325" i="10"/>
  <c r="L325" i="10" s="1"/>
  <c r="G324" i="10"/>
  <c r="L324" i="10" s="1"/>
  <c r="G323" i="10"/>
  <c r="L323" i="10" s="1"/>
  <c r="G322" i="10"/>
  <c r="L322" i="10" s="1"/>
  <c r="I321" i="10"/>
  <c r="G321" i="10"/>
  <c r="G320" i="10"/>
  <c r="L320" i="10" s="1"/>
  <c r="G319" i="10"/>
  <c r="L319" i="10" s="1"/>
  <c r="G318" i="10"/>
  <c r="L318" i="10" s="1"/>
  <c r="G317" i="10"/>
  <c r="L317" i="10" s="1"/>
  <c r="G316" i="10"/>
  <c r="L316" i="10" s="1"/>
  <c r="G315" i="10"/>
  <c r="L315" i="10" s="1"/>
  <c r="G314" i="10"/>
  <c r="L314" i="10" s="1"/>
  <c r="G313" i="10"/>
  <c r="L313" i="10" s="1"/>
  <c r="G312" i="10"/>
  <c r="L312" i="10" s="1"/>
  <c r="G311" i="10"/>
  <c r="L311" i="10" s="1"/>
  <c r="G310" i="10"/>
  <c r="L310" i="10" s="1"/>
  <c r="G309" i="10"/>
  <c r="L309" i="10" s="1"/>
  <c r="G308" i="10"/>
  <c r="L308" i="10" s="1"/>
  <c r="G307" i="10"/>
  <c r="L307" i="10" s="1"/>
  <c r="G306" i="10"/>
  <c r="L306" i="10" s="1"/>
  <c r="G305" i="10"/>
  <c r="L305" i="10" s="1"/>
  <c r="G304" i="10"/>
  <c r="L304" i="10" s="1"/>
  <c r="G303" i="10"/>
  <c r="L303" i="10" s="1"/>
  <c r="G302" i="10"/>
  <c r="L302" i="10" s="1"/>
  <c r="G301" i="10"/>
  <c r="L301" i="10" s="1"/>
  <c r="G300" i="10"/>
  <c r="L300" i="10" s="1"/>
  <c r="G299" i="10"/>
  <c r="L299" i="10" s="1"/>
  <c r="G298" i="10"/>
  <c r="L298" i="10" s="1"/>
  <c r="G297" i="10"/>
  <c r="L297" i="10" s="1"/>
  <c r="G296" i="10"/>
  <c r="L296" i="10" s="1"/>
  <c r="G295" i="10"/>
  <c r="L295" i="10" s="1"/>
  <c r="G294" i="10"/>
  <c r="L294" i="10" s="1"/>
  <c r="G293" i="10"/>
  <c r="L293" i="10" s="1"/>
  <c r="G292" i="10"/>
  <c r="L292" i="10" s="1"/>
  <c r="G291" i="10"/>
  <c r="L291" i="10" s="1"/>
  <c r="L290" i="10"/>
  <c r="G290" i="10"/>
  <c r="G289" i="10"/>
  <c r="L289" i="10" s="1"/>
  <c r="G288" i="10"/>
  <c r="L288" i="10" s="1"/>
  <c r="G287" i="10"/>
  <c r="L287" i="10" s="1"/>
  <c r="I286" i="10"/>
  <c r="G286" i="10"/>
  <c r="G285" i="10"/>
  <c r="L285" i="10" s="1"/>
  <c r="G284" i="10"/>
  <c r="L284" i="10" s="1"/>
  <c r="L282" i="10"/>
  <c r="G280" i="10"/>
  <c r="L280" i="10" s="1"/>
  <c r="G279" i="10"/>
  <c r="L279" i="10" s="1"/>
  <c r="G278" i="10"/>
  <c r="L278" i="10" s="1"/>
  <c r="L277" i="10"/>
  <c r="G276" i="10"/>
  <c r="L276" i="10" s="1"/>
  <c r="L275" i="10"/>
  <c r="G275" i="10"/>
  <c r="L274" i="10"/>
  <c r="G273" i="10"/>
  <c r="L273" i="10" s="1"/>
  <c r="G272" i="10"/>
  <c r="L272" i="10" s="1"/>
  <c r="G271" i="10"/>
  <c r="L271" i="10" s="1"/>
  <c r="L270" i="10"/>
  <c r="G269" i="10"/>
  <c r="L269" i="10" s="1"/>
  <c r="G268" i="10"/>
  <c r="L268" i="10" s="1"/>
  <c r="L267" i="10"/>
  <c r="G267" i="10"/>
  <c r="L266" i="10"/>
  <c r="G266" i="10"/>
  <c r="G265" i="10"/>
  <c r="L265" i="10" s="1"/>
  <c r="G264" i="10"/>
  <c r="L264" i="10" s="1"/>
  <c r="G263" i="10"/>
  <c r="L263" i="10" s="1"/>
  <c r="G262" i="10"/>
  <c r="L262" i="10" s="1"/>
  <c r="G261" i="10"/>
  <c r="L261" i="10" s="1"/>
  <c r="G260" i="10"/>
  <c r="L260" i="10" s="1"/>
  <c r="L259" i="10"/>
  <c r="G259" i="10"/>
  <c r="G258" i="10"/>
  <c r="L258" i="10" s="1"/>
  <c r="G257" i="10"/>
  <c r="L257" i="10" s="1"/>
  <c r="G256" i="10"/>
  <c r="L256" i="10" s="1"/>
  <c r="L255" i="10"/>
  <c r="L254" i="10"/>
  <c r="G253" i="10"/>
  <c r="L253" i="10" s="1"/>
  <c r="G252" i="10"/>
  <c r="L252" i="10" s="1"/>
  <c r="G251" i="10"/>
  <c r="L251" i="10" s="1"/>
  <c r="G250" i="10"/>
  <c r="L250" i="10" s="1"/>
  <c r="L248" i="10"/>
  <c r="G248" i="10"/>
  <c r="G247" i="10"/>
  <c r="L247" i="10" s="1"/>
  <c r="L551" i="9"/>
  <c r="L550" i="9"/>
  <c r="L549" i="9"/>
  <c r="L548" i="9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466" i="9"/>
  <c r="G465" i="9"/>
  <c r="L465" i="9" s="1"/>
  <c r="L464" i="9"/>
  <c r="G464" i="9"/>
  <c r="G463" i="9"/>
  <c r="L463" i="9" s="1"/>
  <c r="G462" i="9"/>
  <c r="L462" i="9" s="1"/>
  <c r="G461" i="9"/>
  <c r="L461" i="9" s="1"/>
  <c r="G460" i="9"/>
  <c r="L460" i="9" s="1"/>
  <c r="G459" i="9"/>
  <c r="L459" i="9" s="1"/>
  <c r="G458" i="9"/>
  <c r="L458" i="9" s="1"/>
  <c r="G457" i="9"/>
  <c r="L457" i="9" s="1"/>
  <c r="I456" i="9"/>
  <c r="G456" i="9"/>
  <c r="G455" i="9"/>
  <c r="L455" i="9" s="1"/>
  <c r="G454" i="9"/>
  <c r="L454" i="9" s="1"/>
  <c r="G453" i="9"/>
  <c r="L453" i="9" s="1"/>
  <c r="G452" i="9"/>
  <c r="L452" i="9" s="1"/>
  <c r="L451" i="9"/>
  <c r="G451" i="9"/>
  <c r="I450" i="9"/>
  <c r="G450" i="9"/>
  <c r="G449" i="9"/>
  <c r="L449" i="9" s="1"/>
  <c r="G448" i="9"/>
  <c r="L448" i="9" s="1"/>
  <c r="G447" i="9"/>
  <c r="L447" i="9" s="1"/>
  <c r="G446" i="9"/>
  <c r="L446" i="9" s="1"/>
  <c r="G445" i="9"/>
  <c r="L445" i="9" s="1"/>
  <c r="I444" i="9"/>
  <c r="G444" i="9"/>
  <c r="G443" i="9"/>
  <c r="L443" i="9" s="1"/>
  <c r="G442" i="9"/>
  <c r="L442" i="9" s="1"/>
  <c r="G441" i="9"/>
  <c r="L441" i="9" s="1"/>
  <c r="G440" i="9"/>
  <c r="L440" i="9" s="1"/>
  <c r="G439" i="9"/>
  <c r="L439" i="9" s="1"/>
  <c r="G438" i="9"/>
  <c r="L438" i="9" s="1"/>
  <c r="L437" i="9"/>
  <c r="G437" i="9"/>
  <c r="G436" i="9"/>
  <c r="L436" i="9" s="1"/>
  <c r="G435" i="9"/>
  <c r="L435" i="9" s="1"/>
  <c r="G434" i="9"/>
  <c r="L434" i="9" s="1"/>
  <c r="G433" i="9"/>
  <c r="L433" i="9" s="1"/>
  <c r="L432" i="9"/>
  <c r="G432" i="9"/>
  <c r="G431" i="9"/>
  <c r="L431" i="9" s="1"/>
  <c r="G430" i="9"/>
  <c r="L430" i="9" s="1"/>
  <c r="G429" i="9"/>
  <c r="L429" i="9" s="1"/>
  <c r="G428" i="9"/>
  <c r="L428" i="9" s="1"/>
  <c r="G427" i="9"/>
  <c r="L427" i="9" s="1"/>
  <c r="G426" i="9"/>
  <c r="L426" i="9" s="1"/>
  <c r="G425" i="9"/>
  <c r="L425" i="9" s="1"/>
  <c r="L424" i="9"/>
  <c r="G424" i="9"/>
  <c r="G423" i="9"/>
  <c r="L423" i="9" s="1"/>
  <c r="G422" i="9"/>
  <c r="L422" i="9" s="1"/>
  <c r="G421" i="9"/>
  <c r="L421" i="9" s="1"/>
  <c r="G420" i="9"/>
  <c r="L420" i="9" s="1"/>
  <c r="G419" i="9"/>
  <c r="L419" i="9" s="1"/>
  <c r="G418" i="9"/>
  <c r="L418" i="9" s="1"/>
  <c r="G417" i="9"/>
  <c r="L417" i="9" s="1"/>
  <c r="G416" i="9"/>
  <c r="L416" i="9" s="1"/>
  <c r="G415" i="9"/>
  <c r="L415" i="9" s="1"/>
  <c r="G414" i="9"/>
  <c r="L414" i="9" s="1"/>
  <c r="G413" i="9"/>
  <c r="L413" i="9" s="1"/>
  <c r="L412" i="9"/>
  <c r="G412" i="9"/>
  <c r="G411" i="9"/>
  <c r="L411" i="9" s="1"/>
  <c r="G410" i="9"/>
  <c r="L410" i="9" s="1"/>
  <c r="I409" i="9"/>
  <c r="G409" i="9"/>
  <c r="L409" i="9" s="1"/>
  <c r="G408" i="9"/>
  <c r="L408" i="9" s="1"/>
  <c r="G407" i="9"/>
  <c r="L407" i="9" s="1"/>
  <c r="L405" i="9"/>
  <c r="G404" i="9"/>
  <c r="L404" i="9" s="1"/>
  <c r="L403" i="9"/>
  <c r="G403" i="9"/>
  <c r="G402" i="9"/>
  <c r="L402" i="9" s="1"/>
  <c r="G401" i="9"/>
  <c r="L401" i="9" s="1"/>
  <c r="G400" i="9"/>
  <c r="L400" i="9" s="1"/>
  <c r="G399" i="9"/>
  <c r="L399" i="9" s="1"/>
  <c r="L398" i="9"/>
  <c r="G398" i="9"/>
  <c r="G397" i="9"/>
  <c r="L397" i="9" s="1"/>
  <c r="L396" i="9"/>
  <c r="G396" i="9"/>
  <c r="L395" i="9"/>
  <c r="I395" i="9"/>
  <c r="G395" i="9"/>
  <c r="G394" i="9"/>
  <c r="L394" i="9" s="1"/>
  <c r="G393" i="9"/>
  <c r="L393" i="9" s="1"/>
  <c r="G392" i="9"/>
  <c r="L392" i="9" s="1"/>
  <c r="G391" i="9"/>
  <c r="L391" i="9" s="1"/>
  <c r="G390" i="9"/>
  <c r="L390" i="9" s="1"/>
  <c r="I389" i="9"/>
  <c r="G389" i="9"/>
  <c r="G388" i="9"/>
  <c r="L388" i="9" s="1"/>
  <c r="G387" i="9"/>
  <c r="L387" i="9" s="1"/>
  <c r="L386" i="9"/>
  <c r="G386" i="9"/>
  <c r="G385" i="9"/>
  <c r="L385" i="9" s="1"/>
  <c r="G384" i="9"/>
  <c r="L384" i="9" s="1"/>
  <c r="I383" i="9"/>
  <c r="G383" i="9"/>
  <c r="L383" i="9" s="1"/>
  <c r="G382" i="9"/>
  <c r="L382" i="9" s="1"/>
  <c r="G381" i="9"/>
  <c r="L381" i="9" s="1"/>
  <c r="G380" i="9"/>
  <c r="L380" i="9" s="1"/>
  <c r="G379" i="9"/>
  <c r="L379" i="9" s="1"/>
  <c r="G378" i="9"/>
  <c r="L378" i="9" s="1"/>
  <c r="G377" i="9"/>
  <c r="L377" i="9" s="1"/>
  <c r="G376" i="9"/>
  <c r="L376" i="9" s="1"/>
  <c r="G375" i="9"/>
  <c r="L375" i="9" s="1"/>
  <c r="G374" i="9"/>
  <c r="L374" i="9" s="1"/>
  <c r="G373" i="9"/>
  <c r="L373" i="9" s="1"/>
  <c r="G372" i="9"/>
  <c r="L372" i="9" s="1"/>
  <c r="G371" i="9"/>
  <c r="L371" i="9" s="1"/>
  <c r="G370" i="9"/>
  <c r="L370" i="9" s="1"/>
  <c r="G369" i="9"/>
  <c r="L369" i="9" s="1"/>
  <c r="G368" i="9"/>
  <c r="L368" i="9" s="1"/>
  <c r="G367" i="9"/>
  <c r="L367" i="9" s="1"/>
  <c r="G366" i="9"/>
  <c r="L366" i="9" s="1"/>
  <c r="G365" i="9"/>
  <c r="L365" i="9" s="1"/>
  <c r="L364" i="9"/>
  <c r="G364" i="9"/>
  <c r="G363" i="9"/>
  <c r="L363" i="9" s="1"/>
  <c r="L362" i="9"/>
  <c r="G362" i="9"/>
  <c r="G361" i="9"/>
  <c r="L361" i="9" s="1"/>
  <c r="G360" i="9"/>
  <c r="L360" i="9" s="1"/>
  <c r="G359" i="9"/>
  <c r="L359" i="9" s="1"/>
  <c r="G358" i="9"/>
  <c r="L358" i="9" s="1"/>
  <c r="G357" i="9"/>
  <c r="L357" i="9" s="1"/>
  <c r="G356" i="9"/>
  <c r="L356" i="9" s="1"/>
  <c r="G355" i="9"/>
  <c r="L355" i="9" s="1"/>
  <c r="G354" i="9"/>
  <c r="L354" i="9" s="1"/>
  <c r="G353" i="9"/>
  <c r="L353" i="9" s="1"/>
  <c r="G352" i="9"/>
  <c r="L352" i="9" s="1"/>
  <c r="G351" i="9"/>
  <c r="L351" i="9" s="1"/>
  <c r="G350" i="9"/>
  <c r="L350" i="9" s="1"/>
  <c r="G349" i="9"/>
  <c r="L349" i="9" s="1"/>
  <c r="I348" i="9"/>
  <c r="G348" i="9"/>
  <c r="L348" i="9" s="1"/>
  <c r="L347" i="9"/>
  <c r="G347" i="9"/>
  <c r="G346" i="9"/>
  <c r="L346" i="9" s="1"/>
  <c r="L344" i="9"/>
  <c r="G343" i="9"/>
  <c r="L343" i="9" s="1"/>
  <c r="G342" i="9"/>
  <c r="L342" i="9" s="1"/>
  <c r="G341" i="9"/>
  <c r="L341" i="9" s="1"/>
  <c r="G340" i="9"/>
  <c r="L340" i="9" s="1"/>
  <c r="G339" i="9"/>
  <c r="L339" i="9" s="1"/>
  <c r="G338" i="9"/>
  <c r="L338" i="9" s="1"/>
  <c r="G337" i="9"/>
  <c r="L337" i="9" s="1"/>
  <c r="G336" i="9"/>
  <c r="L336" i="9" s="1"/>
  <c r="G335" i="9"/>
  <c r="L335" i="9" s="1"/>
  <c r="I334" i="9"/>
  <c r="G334" i="9"/>
  <c r="L334" i="9" s="1"/>
  <c r="G333" i="9"/>
  <c r="L333" i="9" s="1"/>
  <c r="G332" i="9"/>
  <c r="L332" i="9" s="1"/>
  <c r="G331" i="9"/>
  <c r="L331" i="9" s="1"/>
  <c r="G330" i="9"/>
  <c r="L330" i="9" s="1"/>
  <c r="G329" i="9"/>
  <c r="L329" i="9" s="1"/>
  <c r="I328" i="9"/>
  <c r="L328" i="9" s="1"/>
  <c r="G328" i="9"/>
  <c r="G327" i="9"/>
  <c r="L327" i="9" s="1"/>
  <c r="G326" i="9"/>
  <c r="L326" i="9" s="1"/>
  <c r="G325" i="9"/>
  <c r="L325" i="9" s="1"/>
  <c r="G324" i="9"/>
  <c r="L324" i="9" s="1"/>
  <c r="G323" i="9"/>
  <c r="L323" i="9" s="1"/>
  <c r="I322" i="9"/>
  <c r="G322" i="9"/>
  <c r="L322" i="9" s="1"/>
  <c r="G321" i="9"/>
  <c r="L321" i="9" s="1"/>
  <c r="G320" i="9"/>
  <c r="L320" i="9" s="1"/>
  <c r="G319" i="9"/>
  <c r="L319" i="9" s="1"/>
  <c r="G318" i="9"/>
  <c r="L318" i="9" s="1"/>
  <c r="G317" i="9"/>
  <c r="L317" i="9" s="1"/>
  <c r="G316" i="9"/>
  <c r="L316" i="9" s="1"/>
  <c r="L315" i="9"/>
  <c r="G315" i="9"/>
  <c r="G314" i="9"/>
  <c r="L314" i="9" s="1"/>
  <c r="G313" i="9"/>
  <c r="L313" i="9" s="1"/>
  <c r="G312" i="9"/>
  <c r="L312" i="9" s="1"/>
  <c r="G311" i="9"/>
  <c r="L311" i="9" s="1"/>
  <c r="G310" i="9"/>
  <c r="L310" i="9" s="1"/>
  <c r="G309" i="9"/>
  <c r="L309" i="9" s="1"/>
  <c r="G308" i="9"/>
  <c r="L308" i="9" s="1"/>
  <c r="G307" i="9"/>
  <c r="L307" i="9" s="1"/>
  <c r="G306" i="9"/>
  <c r="L306" i="9" s="1"/>
  <c r="G305" i="9"/>
  <c r="L305" i="9" s="1"/>
  <c r="G304" i="9"/>
  <c r="L304" i="9" s="1"/>
  <c r="G303" i="9"/>
  <c r="L303" i="9" s="1"/>
  <c r="G302" i="9"/>
  <c r="L302" i="9" s="1"/>
  <c r="G301" i="9"/>
  <c r="L301" i="9" s="1"/>
  <c r="G300" i="9"/>
  <c r="L300" i="9" s="1"/>
  <c r="G299" i="9"/>
  <c r="L299" i="9" s="1"/>
  <c r="G298" i="9"/>
  <c r="L298" i="9" s="1"/>
  <c r="G297" i="9"/>
  <c r="L297" i="9" s="1"/>
  <c r="G296" i="9"/>
  <c r="L296" i="9" s="1"/>
  <c r="G295" i="9"/>
  <c r="L295" i="9" s="1"/>
  <c r="G294" i="9"/>
  <c r="L294" i="9" s="1"/>
  <c r="G293" i="9"/>
  <c r="L293" i="9" s="1"/>
  <c r="G292" i="9"/>
  <c r="L292" i="9" s="1"/>
  <c r="G291" i="9"/>
  <c r="L291" i="9" s="1"/>
  <c r="G290" i="9"/>
  <c r="L290" i="9" s="1"/>
  <c r="G289" i="9"/>
  <c r="L289" i="9" s="1"/>
  <c r="G288" i="9"/>
  <c r="L288" i="9" s="1"/>
  <c r="I287" i="9"/>
  <c r="G287" i="9"/>
  <c r="L287" i="9" s="1"/>
  <c r="G286" i="9"/>
  <c r="L286" i="9" s="1"/>
  <c r="G285" i="9"/>
  <c r="L285" i="9" s="1"/>
  <c r="L283" i="9"/>
  <c r="G281" i="9"/>
  <c r="L281" i="9" s="1"/>
  <c r="G280" i="9"/>
  <c r="L280" i="9" s="1"/>
  <c r="G279" i="9"/>
  <c r="L279" i="9" s="1"/>
  <c r="L278" i="9"/>
  <c r="G277" i="9"/>
  <c r="L277" i="9" s="1"/>
  <c r="L276" i="9"/>
  <c r="G276" i="9"/>
  <c r="L275" i="9"/>
  <c r="L274" i="9"/>
  <c r="G274" i="9"/>
  <c r="G273" i="9"/>
  <c r="L273" i="9" s="1"/>
  <c r="L272" i="9"/>
  <c r="G272" i="9"/>
  <c r="L271" i="9"/>
  <c r="G270" i="9"/>
  <c r="L270" i="9" s="1"/>
  <c r="G269" i="9"/>
  <c r="L269" i="9" s="1"/>
  <c r="L268" i="9"/>
  <c r="G268" i="9"/>
  <c r="L267" i="9"/>
  <c r="G267" i="9"/>
  <c r="G266" i="9"/>
  <c r="L266" i="9" s="1"/>
  <c r="G265" i="9"/>
  <c r="L265" i="9" s="1"/>
  <c r="G264" i="9"/>
  <c r="L264" i="9" s="1"/>
  <c r="G263" i="9"/>
  <c r="L263" i="9" s="1"/>
  <c r="G262" i="9"/>
  <c r="L262" i="9" s="1"/>
  <c r="L261" i="9"/>
  <c r="G261" i="9"/>
  <c r="G260" i="9"/>
  <c r="L260" i="9" s="1"/>
  <c r="G259" i="9"/>
  <c r="L259" i="9" s="1"/>
  <c r="G258" i="9"/>
  <c r="L258" i="9" s="1"/>
  <c r="G257" i="9"/>
  <c r="L257" i="9" s="1"/>
  <c r="L256" i="9"/>
  <c r="L255" i="9"/>
  <c r="G254" i="9"/>
  <c r="L254" i="9" s="1"/>
  <c r="G253" i="9"/>
  <c r="L253" i="9" s="1"/>
  <c r="L252" i="9"/>
  <c r="G252" i="9"/>
  <c r="G251" i="9"/>
  <c r="L251" i="9" s="1"/>
  <c r="G249" i="9"/>
  <c r="L249" i="9" s="1"/>
  <c r="L248" i="9"/>
  <c r="G248" i="9"/>
  <c r="G247" i="9"/>
  <c r="L247" i="9" s="1"/>
  <c r="L246" i="9"/>
  <c r="G245" i="9"/>
  <c r="L245" i="9" s="1"/>
  <c r="G244" i="9"/>
  <c r="L244" i="9" s="1"/>
  <c r="L243" i="9"/>
  <c r="G242" i="9"/>
  <c r="L242" i="9" s="1"/>
  <c r="G241" i="9"/>
  <c r="L241" i="9" s="1"/>
  <c r="G240" i="9"/>
  <c r="L240" i="9" s="1"/>
  <c r="L239" i="9"/>
  <c r="G238" i="9"/>
  <c r="L238" i="9" s="1"/>
  <c r="G237" i="9"/>
  <c r="L237" i="9" s="1"/>
  <c r="G236" i="9"/>
  <c r="L236" i="9" s="1"/>
  <c r="G235" i="9"/>
  <c r="L235" i="9" s="1"/>
  <c r="G234" i="9"/>
  <c r="L234" i="9" s="1"/>
  <c r="G233" i="9"/>
  <c r="L233" i="9" s="1"/>
  <c r="G232" i="9"/>
  <c r="L232" i="9" s="1"/>
  <c r="G231" i="9"/>
  <c r="L231" i="9" s="1"/>
  <c r="G230" i="9"/>
  <c r="L230" i="9" s="1"/>
  <c r="G229" i="9"/>
  <c r="L229" i="9" s="1"/>
  <c r="L228" i="9"/>
  <c r="G228" i="9"/>
  <c r="G227" i="9"/>
  <c r="L227" i="9" s="1"/>
  <c r="G226" i="9"/>
  <c r="L226" i="9" s="1"/>
  <c r="G225" i="9"/>
  <c r="L225" i="9" s="1"/>
  <c r="L224" i="9"/>
  <c r="L223" i="9"/>
  <c r="G222" i="9"/>
  <c r="L222" i="9" s="1"/>
  <c r="G221" i="9"/>
  <c r="L221" i="9" s="1"/>
  <c r="G220" i="9"/>
  <c r="L220" i="9" s="1"/>
  <c r="L219" i="9"/>
  <c r="G219" i="9"/>
  <c r="G217" i="9"/>
  <c r="L217" i="9" s="1"/>
  <c r="G216" i="9"/>
  <c r="L216" i="9" s="1"/>
  <c r="G215" i="9"/>
  <c r="L215" i="9" s="1"/>
  <c r="L214" i="9"/>
  <c r="G213" i="9"/>
  <c r="L213" i="9" s="1"/>
  <c r="G212" i="9"/>
  <c r="L212" i="9" s="1"/>
  <c r="L211" i="9"/>
  <c r="G210" i="9"/>
  <c r="L210" i="9" s="1"/>
  <c r="G209" i="9"/>
  <c r="L209" i="9" s="1"/>
  <c r="G208" i="9"/>
  <c r="L208" i="9" s="1"/>
  <c r="L207" i="9"/>
  <c r="G206" i="9"/>
  <c r="L206" i="9" s="1"/>
  <c r="G205" i="9"/>
  <c r="L205" i="9" s="1"/>
  <c r="G204" i="9"/>
  <c r="L204" i="9" s="1"/>
  <c r="G203" i="9"/>
  <c r="L203" i="9" s="1"/>
  <c r="G202" i="9"/>
  <c r="L202" i="9" s="1"/>
  <c r="L201" i="9"/>
  <c r="G201" i="9"/>
  <c r="G200" i="9"/>
  <c r="L200" i="9" s="1"/>
  <c r="L199" i="9"/>
  <c r="G199" i="9"/>
  <c r="G198" i="9"/>
  <c r="L198" i="9" s="1"/>
  <c r="G197" i="9"/>
  <c r="L197" i="9" s="1"/>
  <c r="G196" i="9"/>
  <c r="L196" i="9" s="1"/>
  <c r="L195" i="9"/>
  <c r="G195" i="9"/>
  <c r="G194" i="9"/>
  <c r="L194" i="9" s="1"/>
  <c r="L193" i="9"/>
  <c r="G193" i="9"/>
  <c r="L192" i="9"/>
  <c r="L191" i="9"/>
  <c r="G190" i="9"/>
  <c r="L190" i="9" s="1"/>
  <c r="L189" i="9"/>
  <c r="G189" i="9"/>
  <c r="G188" i="9"/>
  <c r="L188" i="9" s="1"/>
  <c r="L187" i="9"/>
  <c r="G187" i="9"/>
  <c r="L183" i="9"/>
  <c r="G183" i="9"/>
  <c r="L182" i="9"/>
  <c r="L181" i="9"/>
  <c r="G180" i="9"/>
  <c r="L180" i="9" s="1"/>
  <c r="L179" i="9"/>
  <c r="L178" i="9"/>
  <c r="L177" i="9"/>
  <c r="G176" i="9"/>
  <c r="L176" i="9" s="1"/>
  <c r="G175" i="9"/>
  <c r="L175" i="9" s="1"/>
  <c r="L174" i="9"/>
  <c r="L173" i="9"/>
  <c r="G171" i="9"/>
  <c r="L171" i="9" s="1"/>
  <c r="L170" i="9"/>
  <c r="L169" i="9"/>
  <c r="G168" i="9"/>
  <c r="L168" i="9" s="1"/>
  <c r="L167" i="9"/>
  <c r="L166" i="9"/>
  <c r="L165" i="9"/>
  <c r="G164" i="9"/>
  <c r="L164" i="9" s="1"/>
  <c r="G163" i="9"/>
  <c r="L163" i="9" s="1"/>
  <c r="L162" i="9"/>
  <c r="L161" i="9"/>
  <c r="L159" i="9"/>
  <c r="L158" i="9"/>
  <c r="L157" i="9"/>
  <c r="G156" i="9"/>
  <c r="L156" i="9" s="1"/>
  <c r="L155" i="9"/>
  <c r="L154" i="9"/>
  <c r="G153" i="9"/>
  <c r="L153" i="9" s="1"/>
  <c r="L152" i="9"/>
  <c r="G151" i="9"/>
  <c r="L151" i="9" s="1"/>
  <c r="L150" i="9"/>
  <c r="L149" i="9"/>
  <c r="G148" i="9"/>
  <c r="L148" i="9" s="1"/>
  <c r="L147" i="9"/>
  <c r="L146" i="9"/>
  <c r="L145" i="9"/>
  <c r="L140" i="9"/>
  <c r="L139" i="9"/>
  <c r="L138" i="9"/>
  <c r="G138" i="9"/>
  <c r="L137" i="9"/>
  <c r="L136" i="9"/>
  <c r="L135" i="9"/>
  <c r="L134" i="9"/>
  <c r="L133" i="9"/>
  <c r="L132" i="9"/>
  <c r="L131" i="9"/>
  <c r="L130" i="9"/>
  <c r="G129" i="9"/>
  <c r="L129" i="9" s="1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1" i="9"/>
  <c r="L100" i="9"/>
  <c r="G99" i="9"/>
  <c r="L99" i="9" s="1"/>
  <c r="L98" i="9"/>
  <c r="L97" i="9"/>
  <c r="L96" i="9"/>
  <c r="L95" i="9"/>
  <c r="L94" i="9"/>
  <c r="L93" i="9"/>
  <c r="L92" i="9"/>
  <c r="L91" i="9"/>
  <c r="G90" i="9"/>
  <c r="L90" i="9" s="1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2" i="9"/>
  <c r="L61" i="9"/>
  <c r="G61" i="9"/>
  <c r="L60" i="9"/>
  <c r="L59" i="9"/>
  <c r="G58" i="9"/>
  <c r="L58" i="9" s="1"/>
  <c r="L57" i="9"/>
  <c r="G56" i="9"/>
  <c r="L56" i="9" s="1"/>
  <c r="L55" i="9"/>
  <c r="L54" i="9"/>
  <c r="L53" i="9"/>
  <c r="G52" i="9"/>
  <c r="L52" i="9" s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G37" i="9"/>
  <c r="L37" i="9" s="1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449" i="8"/>
  <c r="L448" i="8"/>
  <c r="L447" i="8"/>
  <c r="L445" i="8"/>
  <c r="H444" i="8"/>
  <c r="L444" i="8" s="1"/>
  <c r="L443" i="8"/>
  <c r="H441" i="8"/>
  <c r="L441" i="8" s="1"/>
  <c r="L440" i="8"/>
  <c r="L439" i="8"/>
  <c r="L438" i="8"/>
  <c r="L436" i="8"/>
  <c r="L435" i="8"/>
  <c r="L434" i="8"/>
  <c r="L433" i="8"/>
  <c r="L432" i="8"/>
  <c r="L377" i="8"/>
  <c r="L376" i="8"/>
  <c r="L375" i="8"/>
  <c r="I374" i="8"/>
  <c r="L374" i="8" s="1"/>
  <c r="L373" i="8"/>
  <c r="I372" i="8"/>
  <c r="L372" i="8" s="1"/>
  <c r="L371" i="8"/>
  <c r="I370" i="8"/>
  <c r="L370" i="8" s="1"/>
  <c r="L369" i="8"/>
  <c r="L368" i="8"/>
  <c r="I368" i="8"/>
  <c r="L367" i="8"/>
  <c r="I366" i="8"/>
  <c r="L366" i="8" s="1"/>
  <c r="L365" i="8"/>
  <c r="I364" i="8"/>
  <c r="L364" i="8" s="1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1" i="8"/>
  <c r="L330" i="8"/>
  <c r="L329" i="8"/>
  <c r="L328" i="8"/>
  <c r="I328" i="8"/>
  <c r="L327" i="8"/>
  <c r="I326" i="8"/>
  <c r="L326" i="8" s="1"/>
  <c r="L325" i="8"/>
  <c r="I324" i="8"/>
  <c r="L324" i="8" s="1"/>
  <c r="L323" i="8"/>
  <c r="I322" i="8"/>
  <c r="L322" i="8" s="1"/>
  <c r="L321" i="8"/>
  <c r="I320" i="8"/>
  <c r="L320" i="8" s="1"/>
  <c r="L319" i="8"/>
  <c r="I318" i="8"/>
  <c r="L318" i="8" s="1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5" i="8"/>
  <c r="L284" i="8"/>
  <c r="L283" i="8"/>
  <c r="I283" i="8"/>
  <c r="L282" i="8"/>
  <c r="L281" i="8"/>
  <c r="L280" i="8"/>
  <c r="L279" i="8"/>
  <c r="L278" i="8"/>
  <c r="L277" i="8"/>
  <c r="L276" i="8"/>
  <c r="L275" i="8"/>
  <c r="L274" i="8"/>
  <c r="H273" i="8"/>
  <c r="L273" i="8" s="1"/>
  <c r="L272" i="8"/>
  <c r="H272" i="8"/>
  <c r="H271" i="8"/>
  <c r="L271" i="8" s="1"/>
  <c r="H270" i="8"/>
  <c r="L270" i="8" s="1"/>
  <c r="H269" i="8"/>
  <c r="L269" i="8" s="1"/>
  <c r="H268" i="8"/>
  <c r="L268" i="8" s="1"/>
  <c r="L267" i="8"/>
  <c r="H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1" i="8"/>
  <c r="L250" i="8"/>
  <c r="I249" i="8"/>
  <c r="L249" i="8" s="1"/>
  <c r="I248" i="8"/>
  <c r="L248" i="8" s="1"/>
  <c r="I247" i="8"/>
  <c r="L247" i="8" s="1"/>
  <c r="I246" i="8"/>
  <c r="L246" i="8" s="1"/>
  <c r="I245" i="8"/>
  <c r="L245" i="8" s="1"/>
  <c r="I244" i="8"/>
  <c r="L244" i="8" s="1"/>
  <c r="I243" i="8"/>
  <c r="L243" i="8" s="1"/>
  <c r="L242" i="8"/>
  <c r="L241" i="8"/>
  <c r="L240" i="8"/>
  <c r="L239" i="8"/>
  <c r="L238" i="8"/>
  <c r="L237" i="8"/>
  <c r="L236" i="8"/>
  <c r="L234" i="8"/>
  <c r="L232" i="8"/>
  <c r="L231" i="8"/>
  <c r="L230" i="8"/>
  <c r="L229" i="8"/>
  <c r="L228" i="8"/>
  <c r="L227" i="8"/>
  <c r="L226" i="8"/>
  <c r="L225" i="8"/>
  <c r="G224" i="8"/>
  <c r="L224" i="8" s="1"/>
  <c r="L223" i="8"/>
  <c r="L222" i="8"/>
  <c r="L221" i="8"/>
  <c r="L220" i="8"/>
  <c r="L219" i="8"/>
  <c r="L218" i="8"/>
  <c r="L217" i="8"/>
  <c r="L216" i="8"/>
  <c r="L215" i="8"/>
  <c r="L214" i="8"/>
  <c r="L213" i="8"/>
  <c r="L212" i="8"/>
  <c r="G211" i="8"/>
  <c r="L211" i="8" s="1"/>
  <c r="L210" i="8"/>
  <c r="L209" i="8"/>
  <c r="L207" i="8"/>
  <c r="L206" i="8"/>
  <c r="L205" i="8"/>
  <c r="L204" i="8"/>
  <c r="L203" i="8"/>
  <c r="L202" i="8"/>
  <c r="G201" i="8"/>
  <c r="L201" i="8" s="1"/>
  <c r="L200" i="8"/>
  <c r="L199" i="8"/>
  <c r="L198" i="8"/>
  <c r="L197" i="8"/>
  <c r="L196" i="8"/>
  <c r="L195" i="8"/>
  <c r="G194" i="8"/>
  <c r="L194" i="8" s="1"/>
  <c r="L193" i="8"/>
  <c r="L192" i="8"/>
  <c r="L190" i="8"/>
  <c r="L189" i="8"/>
  <c r="G188" i="8"/>
  <c r="L188" i="8" s="1"/>
  <c r="L187" i="8"/>
  <c r="L186" i="8"/>
  <c r="L185" i="8"/>
  <c r="L184" i="8"/>
  <c r="L183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2" i="8"/>
  <c r="L161" i="8"/>
  <c r="L160" i="8"/>
  <c r="L159" i="8"/>
  <c r="L158" i="8"/>
  <c r="L157" i="8"/>
  <c r="L156" i="8"/>
  <c r="L155" i="8"/>
  <c r="L154" i="8"/>
  <c r="L152" i="8"/>
  <c r="L151" i="8"/>
  <c r="L150" i="8"/>
  <c r="L149" i="8"/>
  <c r="L148" i="8"/>
  <c r="L147" i="8"/>
  <c r="L146" i="8"/>
  <c r="L145" i="8"/>
  <c r="L144" i="8"/>
  <c r="L142" i="8"/>
  <c r="L141" i="8"/>
  <c r="L140" i="8"/>
  <c r="L139" i="8"/>
  <c r="L138" i="8"/>
  <c r="L137" i="8"/>
  <c r="L136" i="8"/>
  <c r="L135" i="8"/>
  <c r="L134" i="8"/>
  <c r="P131" i="8" s="1"/>
  <c r="L129" i="8"/>
  <c r="L128" i="8"/>
  <c r="L127" i="8"/>
  <c r="L126" i="8"/>
  <c r="L125" i="8"/>
  <c r="L124" i="8"/>
  <c r="L123" i="8"/>
  <c r="L122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7" i="8"/>
  <c r="L96" i="8"/>
  <c r="L95" i="8"/>
  <c r="L94" i="8"/>
  <c r="L93" i="8"/>
  <c r="L92" i="8"/>
  <c r="L91" i="8"/>
  <c r="L88" i="8"/>
  <c r="L87" i="8"/>
  <c r="L86" i="8"/>
  <c r="L85" i="8"/>
  <c r="L84" i="8"/>
  <c r="L83" i="8"/>
  <c r="L82" i="8"/>
  <c r="L81" i="8"/>
  <c r="L80" i="8"/>
  <c r="L79" i="8"/>
  <c r="L78" i="8"/>
  <c r="L76" i="8"/>
  <c r="L75" i="8"/>
  <c r="L74" i="8"/>
  <c r="L73" i="8"/>
  <c r="L72" i="8"/>
  <c r="L71" i="8"/>
  <c r="L70" i="8"/>
  <c r="L69" i="8"/>
  <c r="L68" i="8"/>
  <c r="L67" i="8"/>
  <c r="L66" i="8"/>
  <c r="L64" i="8"/>
  <c r="L63" i="8"/>
  <c r="L62" i="8"/>
  <c r="L61" i="8"/>
  <c r="L60" i="8"/>
  <c r="L59" i="8"/>
  <c r="L58" i="8"/>
  <c r="L57" i="8"/>
  <c r="L56" i="8"/>
  <c r="L55" i="8"/>
  <c r="L54" i="8"/>
  <c r="G53" i="8"/>
  <c r="L53" i="8" s="1"/>
  <c r="L51" i="8"/>
  <c r="L50" i="8"/>
  <c r="L49" i="8"/>
  <c r="L48" i="8"/>
  <c r="L47" i="8"/>
  <c r="L46" i="8"/>
  <c r="L45" i="8"/>
  <c r="L41" i="8"/>
  <c r="L40" i="8"/>
  <c r="L38" i="8"/>
  <c r="L37" i="8"/>
  <c r="L36" i="8"/>
  <c r="L35" i="8"/>
  <c r="L33" i="8"/>
  <c r="L32" i="8"/>
  <c r="L31" i="8"/>
  <c r="L30" i="8"/>
  <c r="L29" i="8"/>
  <c r="L28" i="8"/>
  <c r="G27" i="8"/>
  <c r="L27" i="8" s="1"/>
  <c r="L26" i="8"/>
  <c r="L25" i="8"/>
  <c r="L24" i="8"/>
  <c r="L23" i="8"/>
  <c r="P20" i="8" s="1"/>
  <c r="L318" i="7"/>
  <c r="L317" i="7"/>
  <c r="L316" i="7"/>
  <c r="L315" i="7"/>
  <c r="L314" i="7"/>
  <c r="L313" i="7"/>
  <c r="L311" i="7"/>
  <c r="L310" i="7"/>
  <c r="L309" i="7"/>
  <c r="L308" i="7"/>
  <c r="L307" i="7"/>
  <c r="L306" i="7"/>
  <c r="L304" i="7"/>
  <c r="L303" i="7"/>
  <c r="L302" i="7"/>
  <c r="L301" i="7"/>
  <c r="L300" i="7"/>
  <c r="L299" i="7"/>
  <c r="P297" i="7" s="1"/>
  <c r="I270" i="7"/>
  <c r="L270" i="7" s="1"/>
  <c r="I269" i="7"/>
  <c r="L269" i="7" s="1"/>
  <c r="I268" i="7"/>
  <c r="L268" i="7" s="1"/>
  <c r="I267" i="7"/>
  <c r="L267" i="7" s="1"/>
  <c r="I266" i="7"/>
  <c r="L266" i="7" s="1"/>
  <c r="I265" i="7"/>
  <c r="L265" i="7" s="1"/>
  <c r="I264" i="7"/>
  <c r="L264" i="7" s="1"/>
  <c r="I263" i="7"/>
  <c r="L263" i="7" s="1"/>
  <c r="I262" i="7"/>
  <c r="L262" i="7" s="1"/>
  <c r="I261" i="7"/>
  <c r="L261" i="7" s="1"/>
  <c r="I260" i="7"/>
  <c r="L260" i="7" s="1"/>
  <c r="L259" i="7"/>
  <c r="I259" i="7"/>
  <c r="I258" i="7"/>
  <c r="L258" i="7" s="1"/>
  <c r="L257" i="7"/>
  <c r="I257" i="7"/>
  <c r="I256" i="7"/>
  <c r="L256" i="7" s="1"/>
  <c r="L255" i="7"/>
  <c r="I255" i="7"/>
  <c r="L254" i="7"/>
  <c r="L253" i="7"/>
  <c r="L252" i="7"/>
  <c r="L251" i="7"/>
  <c r="L250" i="7"/>
  <c r="L249" i="7"/>
  <c r="L248" i="7"/>
  <c r="L247" i="7"/>
  <c r="L245" i="7"/>
  <c r="L244" i="7"/>
  <c r="L243" i="7"/>
  <c r="I242" i="7"/>
  <c r="L242" i="7" s="1"/>
  <c r="L241" i="7"/>
  <c r="L240" i="7"/>
  <c r="L239" i="7"/>
  <c r="I238" i="7"/>
  <c r="L238" i="7" s="1"/>
  <c r="L237" i="7"/>
  <c r="L236" i="7"/>
  <c r="L235" i="7"/>
  <c r="I234" i="7"/>
  <c r="L234" i="7" s="1"/>
  <c r="L233" i="7"/>
  <c r="L232" i="7"/>
  <c r="L231" i="7"/>
  <c r="L230" i="7"/>
  <c r="L229" i="7"/>
  <c r="L228" i="7"/>
  <c r="L227" i="7"/>
  <c r="L226" i="7"/>
  <c r="L225" i="7"/>
  <c r="L224" i="7"/>
  <c r="L223" i="7"/>
  <c r="L222" i="7"/>
  <c r="L220" i="7"/>
  <c r="L219" i="7"/>
  <c r="L218" i="7"/>
  <c r="L217" i="7"/>
  <c r="I217" i="7"/>
  <c r="L216" i="7"/>
  <c r="L215" i="7"/>
  <c r="L214" i="7"/>
  <c r="L213" i="7"/>
  <c r="I213" i="7"/>
  <c r="L212" i="7"/>
  <c r="L211" i="7"/>
  <c r="L210" i="7"/>
  <c r="I209" i="7"/>
  <c r="L209" i="7" s="1"/>
  <c r="L208" i="7"/>
  <c r="L207" i="7"/>
  <c r="L206" i="7"/>
  <c r="L205" i="7"/>
  <c r="L204" i="7"/>
  <c r="L203" i="7"/>
  <c r="L202" i="7"/>
  <c r="L201" i="7"/>
  <c r="L200" i="7"/>
  <c r="L199" i="7"/>
  <c r="L198" i="7"/>
  <c r="L197" i="7"/>
  <c r="L195" i="7"/>
  <c r="L194" i="7"/>
  <c r="L193" i="7"/>
  <c r="L192" i="7"/>
  <c r="I192" i="7"/>
  <c r="L191" i="7"/>
  <c r="L190" i="7"/>
  <c r="L189" i="7"/>
  <c r="I188" i="7"/>
  <c r="L188" i="7" s="1"/>
  <c r="L187" i="7"/>
  <c r="L186" i="7"/>
  <c r="L185" i="7"/>
  <c r="L184" i="7"/>
  <c r="I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68" i="7"/>
  <c r="L167" i="7"/>
  <c r="L166" i="7"/>
  <c r="L165" i="7"/>
  <c r="L164" i="7"/>
  <c r="L163" i="7"/>
  <c r="L162" i="7"/>
  <c r="L161" i="7"/>
  <c r="L160" i="7"/>
  <c r="G159" i="7"/>
  <c r="L159" i="7" s="1"/>
  <c r="L158" i="7"/>
  <c r="L157" i="7"/>
  <c r="L156" i="7"/>
  <c r="G156" i="7"/>
  <c r="L155" i="7"/>
  <c r="L154" i="7"/>
  <c r="L153" i="7"/>
  <c r="G152" i="7"/>
  <c r="L152" i="7" s="1"/>
  <c r="L151" i="7"/>
  <c r="G150" i="7"/>
  <c r="L150" i="7" s="1"/>
  <c r="L149" i="7"/>
  <c r="L148" i="7"/>
  <c r="L146" i="7"/>
  <c r="L145" i="7"/>
  <c r="L144" i="7"/>
  <c r="L143" i="7"/>
  <c r="L142" i="7"/>
  <c r="L141" i="7"/>
  <c r="L140" i="7"/>
  <c r="L139" i="7"/>
  <c r="L138" i="7"/>
  <c r="G137" i="7"/>
  <c r="L137" i="7" s="1"/>
  <c r="L136" i="7"/>
  <c r="L135" i="7"/>
  <c r="G134" i="7"/>
  <c r="L134" i="7" s="1"/>
  <c r="L133" i="7"/>
  <c r="L132" i="7"/>
  <c r="L131" i="7"/>
  <c r="G130" i="7"/>
  <c r="L130" i="7" s="1"/>
  <c r="L129" i="7"/>
  <c r="G128" i="7"/>
  <c r="L128" i="7" s="1"/>
  <c r="L127" i="7"/>
  <c r="L126" i="7"/>
  <c r="L124" i="7"/>
  <c r="L123" i="7"/>
  <c r="L122" i="7"/>
  <c r="L121" i="7"/>
  <c r="L120" i="7"/>
  <c r="L119" i="7"/>
  <c r="L118" i="7"/>
  <c r="L117" i="7"/>
  <c r="L116" i="7"/>
  <c r="G115" i="7"/>
  <c r="L115" i="7" s="1"/>
  <c r="L114" i="7"/>
  <c r="L113" i="7"/>
  <c r="G112" i="7"/>
  <c r="L112" i="7" s="1"/>
  <c r="L111" i="7"/>
  <c r="L110" i="7"/>
  <c r="L109" i="7"/>
  <c r="L108" i="7"/>
  <c r="G108" i="7"/>
  <c r="L107" i="7"/>
  <c r="L106" i="7"/>
  <c r="G106" i="7"/>
  <c r="L105" i="7"/>
  <c r="L104" i="7"/>
  <c r="P102" i="7" s="1"/>
  <c r="L100" i="7"/>
  <c r="L98" i="7"/>
  <c r="L97" i="7"/>
  <c r="L96" i="7"/>
  <c r="L95" i="7"/>
  <c r="L92" i="7"/>
  <c r="L90" i="7"/>
  <c r="L89" i="7"/>
  <c r="L88" i="7"/>
  <c r="L87" i="7"/>
  <c r="L84" i="7"/>
  <c r="L82" i="7"/>
  <c r="L81" i="7"/>
  <c r="L80" i="7"/>
  <c r="L79" i="7"/>
  <c r="P76" i="7" s="1"/>
  <c r="L74" i="7"/>
  <c r="L73" i="7"/>
  <c r="L70" i="7"/>
  <c r="L69" i="7"/>
  <c r="L68" i="7"/>
  <c r="L67" i="7"/>
  <c r="L66" i="7"/>
  <c r="L64" i="7"/>
  <c r="L62" i="7"/>
  <c r="L61" i="7"/>
  <c r="L60" i="7"/>
  <c r="L59" i="7"/>
  <c r="L58" i="7"/>
  <c r="L57" i="7"/>
  <c r="L56" i="7"/>
  <c r="L53" i="7"/>
  <c r="L52" i="7"/>
  <c r="L51" i="7"/>
  <c r="L50" i="7"/>
  <c r="L48" i="7"/>
  <c r="L46" i="7"/>
  <c r="L45" i="7"/>
  <c r="L44" i="7"/>
  <c r="L43" i="7"/>
  <c r="L42" i="7"/>
  <c r="L41" i="7"/>
  <c r="L40" i="7"/>
  <c r="L37" i="7"/>
  <c r="L36" i="7"/>
  <c r="L35" i="7"/>
  <c r="L34" i="7"/>
  <c r="L33" i="7"/>
  <c r="L31" i="7"/>
  <c r="L29" i="7"/>
  <c r="L28" i="7"/>
  <c r="L27" i="7"/>
  <c r="L26" i="7"/>
  <c r="L25" i="7"/>
  <c r="L24" i="7"/>
  <c r="L23" i="7"/>
  <c r="P20" i="7" s="1"/>
  <c r="W1" i="8"/>
  <c r="L169" i="6"/>
  <c r="L168" i="6"/>
  <c r="L163" i="6"/>
  <c r="L162" i="6"/>
  <c r="L157" i="6"/>
  <c r="L156" i="6"/>
  <c r="L166" i="6"/>
  <c r="L160" i="6"/>
  <c r="L154" i="6"/>
  <c r="P151" i="6" s="1"/>
  <c r="L293" i="5"/>
  <c r="L292" i="5"/>
  <c r="L287" i="5"/>
  <c r="L286" i="5"/>
  <c r="L281" i="5"/>
  <c r="L280" i="5"/>
  <c r="L276" i="5"/>
  <c r="P272" i="5" s="1"/>
  <c r="L295" i="5"/>
  <c r="L289" i="5"/>
  <c r="L283" i="5"/>
  <c r="W1" i="7"/>
  <c r="L191" i="6"/>
  <c r="L190" i="6"/>
  <c r="L189" i="6"/>
  <c r="L188" i="6"/>
  <c r="L187" i="6"/>
  <c r="L184" i="6"/>
  <c r="L183" i="6"/>
  <c r="L182" i="6"/>
  <c r="L181" i="6"/>
  <c r="L180" i="6"/>
  <c r="L177" i="6"/>
  <c r="P171" i="6" s="1"/>
  <c r="L176" i="6"/>
  <c r="L175" i="6"/>
  <c r="L174" i="6"/>
  <c r="L173" i="6"/>
  <c r="L149" i="6"/>
  <c r="L148" i="6"/>
  <c r="L147" i="6"/>
  <c r="L146" i="6"/>
  <c r="L145" i="6"/>
  <c r="L144" i="6"/>
  <c r="L143" i="6"/>
  <c r="L141" i="6"/>
  <c r="L140" i="6"/>
  <c r="L139" i="6"/>
  <c r="L138" i="6"/>
  <c r="I137" i="6"/>
  <c r="L137" i="6" s="1"/>
  <c r="L135" i="6"/>
  <c r="L134" i="6"/>
  <c r="L133" i="6"/>
  <c r="L132" i="6"/>
  <c r="L131" i="6"/>
  <c r="L130" i="6"/>
  <c r="L129" i="6"/>
  <c r="L127" i="6"/>
  <c r="L126" i="6"/>
  <c r="L125" i="6"/>
  <c r="L124" i="6"/>
  <c r="I123" i="6"/>
  <c r="L123" i="6" s="1"/>
  <c r="L121" i="6"/>
  <c r="L120" i="6"/>
  <c r="L119" i="6"/>
  <c r="L118" i="6"/>
  <c r="L117" i="6"/>
  <c r="L116" i="6"/>
  <c r="L115" i="6"/>
  <c r="L113" i="6"/>
  <c r="L112" i="6"/>
  <c r="L111" i="6"/>
  <c r="L110" i="6"/>
  <c r="I109" i="6"/>
  <c r="L109" i="6" s="1"/>
  <c r="G105" i="6"/>
  <c r="L105" i="6" s="1"/>
  <c r="L104" i="6"/>
  <c r="L103" i="6"/>
  <c r="L102" i="6"/>
  <c r="L101" i="6"/>
  <c r="G101" i="6"/>
  <c r="L100" i="6"/>
  <c r="L99" i="6"/>
  <c r="G98" i="6"/>
  <c r="L98" i="6" s="1"/>
  <c r="L97" i="6"/>
  <c r="L96" i="6"/>
  <c r="L95" i="6"/>
  <c r="L94" i="6"/>
  <c r="G92" i="6"/>
  <c r="L92" i="6" s="1"/>
  <c r="L91" i="6"/>
  <c r="L90" i="6"/>
  <c r="L89" i="6"/>
  <c r="G88" i="6"/>
  <c r="L88" i="6" s="1"/>
  <c r="L87" i="6"/>
  <c r="L86" i="6"/>
  <c r="G85" i="6"/>
  <c r="L85" i="6" s="1"/>
  <c r="L84" i="6"/>
  <c r="L83" i="6"/>
  <c r="L82" i="6"/>
  <c r="L81" i="6"/>
  <c r="G79" i="6"/>
  <c r="L79" i="6" s="1"/>
  <c r="L78" i="6"/>
  <c r="L77" i="6"/>
  <c r="L76" i="6"/>
  <c r="G75" i="6"/>
  <c r="L75" i="6" s="1"/>
  <c r="L74" i="6"/>
  <c r="L73" i="6"/>
  <c r="G72" i="6"/>
  <c r="L72" i="6" s="1"/>
  <c r="L71" i="6"/>
  <c r="L70" i="6"/>
  <c r="L69" i="6"/>
  <c r="L68" i="6"/>
  <c r="P66" i="6" s="1"/>
  <c r="L64" i="6"/>
  <c r="L63" i="6"/>
  <c r="L62" i="6"/>
  <c r="I62" i="6"/>
  <c r="L61" i="6"/>
  <c r="I60" i="6"/>
  <c r="L60" i="6" s="1"/>
  <c r="L59" i="6"/>
  <c r="L57" i="6"/>
  <c r="L56" i="6"/>
  <c r="I55" i="6"/>
  <c r="L55" i="6" s="1"/>
  <c r="L54" i="6"/>
  <c r="I53" i="6"/>
  <c r="L53" i="6" s="1"/>
  <c r="L52" i="6"/>
  <c r="L50" i="6"/>
  <c r="L49" i="6"/>
  <c r="I48" i="6"/>
  <c r="L48" i="6" s="1"/>
  <c r="L47" i="6"/>
  <c r="I46" i="6"/>
  <c r="L46" i="6" s="1"/>
  <c r="L45" i="6"/>
  <c r="I42" i="6"/>
  <c r="L42" i="6" s="1"/>
  <c r="I41" i="6"/>
  <c r="L41" i="6" s="1"/>
  <c r="I40" i="6"/>
  <c r="L40" i="6" s="1"/>
  <c r="I39" i="6"/>
  <c r="L39" i="6" s="1"/>
  <c r="L38" i="6"/>
  <c r="I38" i="6"/>
  <c r="L37" i="6"/>
  <c r="I37" i="6"/>
  <c r="I35" i="6"/>
  <c r="L35" i="6" s="1"/>
  <c r="I34" i="6"/>
  <c r="L34" i="6" s="1"/>
  <c r="I33" i="6"/>
  <c r="L33" i="6" s="1"/>
  <c r="L32" i="6"/>
  <c r="I32" i="6"/>
  <c r="I31" i="6"/>
  <c r="L31" i="6" s="1"/>
  <c r="I30" i="6"/>
  <c r="L30" i="6" s="1"/>
  <c r="I28" i="6"/>
  <c r="L28" i="6" s="1"/>
  <c r="I27" i="6"/>
  <c r="L27" i="6" s="1"/>
  <c r="I26" i="6"/>
  <c r="L26" i="6" s="1"/>
  <c r="I25" i="6"/>
  <c r="L25" i="6" s="1"/>
  <c r="L24" i="6"/>
  <c r="I24" i="6"/>
  <c r="I23" i="6"/>
  <c r="L23" i="6" s="1"/>
  <c r="W1" i="6"/>
  <c r="L318" i="5"/>
  <c r="L317" i="5"/>
  <c r="L316" i="5"/>
  <c r="L315" i="5"/>
  <c r="L314" i="5"/>
  <c r="L313" i="5"/>
  <c r="L311" i="5"/>
  <c r="L310" i="5"/>
  <c r="L309" i="5"/>
  <c r="L308" i="5"/>
  <c r="L307" i="5"/>
  <c r="L306" i="5"/>
  <c r="L304" i="5"/>
  <c r="L303" i="5"/>
  <c r="L302" i="5"/>
  <c r="L301" i="5"/>
  <c r="L300" i="5"/>
  <c r="L299" i="5"/>
  <c r="P297" i="5" s="1"/>
  <c r="I270" i="5"/>
  <c r="L270" i="5" s="1"/>
  <c r="L269" i="5"/>
  <c r="I269" i="5"/>
  <c r="I268" i="5"/>
  <c r="L268" i="5" s="1"/>
  <c r="I267" i="5"/>
  <c r="L267" i="5" s="1"/>
  <c r="I266" i="5"/>
  <c r="L266" i="5" s="1"/>
  <c r="I265" i="5"/>
  <c r="L265" i="5" s="1"/>
  <c r="I264" i="5"/>
  <c r="L264" i="5" s="1"/>
  <c r="I263" i="5"/>
  <c r="L263" i="5" s="1"/>
  <c r="I262" i="5"/>
  <c r="L262" i="5" s="1"/>
  <c r="I261" i="5"/>
  <c r="L261" i="5" s="1"/>
  <c r="I260" i="5"/>
  <c r="L260" i="5" s="1"/>
  <c r="I259" i="5"/>
  <c r="L259" i="5" s="1"/>
  <c r="L258" i="5"/>
  <c r="I258" i="5"/>
  <c r="I257" i="5"/>
  <c r="L257" i="5" s="1"/>
  <c r="I256" i="5"/>
  <c r="L256" i="5" s="1"/>
  <c r="I255" i="5"/>
  <c r="L255" i="5" s="1"/>
  <c r="L254" i="5"/>
  <c r="L253" i="5"/>
  <c r="L252" i="5"/>
  <c r="L251" i="5"/>
  <c r="L250" i="5"/>
  <c r="L249" i="5"/>
  <c r="L248" i="5"/>
  <c r="L247" i="5"/>
  <c r="L245" i="5"/>
  <c r="L244" i="5"/>
  <c r="L243" i="5"/>
  <c r="L242" i="5"/>
  <c r="I242" i="5"/>
  <c r="L241" i="5"/>
  <c r="L240" i="5"/>
  <c r="L239" i="5"/>
  <c r="I238" i="5"/>
  <c r="L238" i="5" s="1"/>
  <c r="L237" i="5"/>
  <c r="L236" i="5"/>
  <c r="L235" i="5"/>
  <c r="L234" i="5"/>
  <c r="I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0" i="5"/>
  <c r="L219" i="5"/>
  <c r="L218" i="5"/>
  <c r="I217" i="5"/>
  <c r="L217" i="5" s="1"/>
  <c r="L216" i="5"/>
  <c r="L215" i="5"/>
  <c r="L214" i="5"/>
  <c r="L213" i="5"/>
  <c r="I213" i="5"/>
  <c r="L212" i="5"/>
  <c r="L211" i="5"/>
  <c r="L210" i="5"/>
  <c r="I209" i="5"/>
  <c r="L209" i="5" s="1"/>
  <c r="L208" i="5"/>
  <c r="L207" i="5"/>
  <c r="L206" i="5"/>
  <c r="L205" i="5"/>
  <c r="L204" i="5"/>
  <c r="L203" i="5"/>
  <c r="L202" i="5"/>
  <c r="L201" i="5"/>
  <c r="L200" i="5"/>
  <c r="L199" i="5"/>
  <c r="L198" i="5"/>
  <c r="L197" i="5"/>
  <c r="L195" i="5"/>
  <c r="L194" i="5"/>
  <c r="L193" i="5"/>
  <c r="I192" i="5"/>
  <c r="L192" i="5" s="1"/>
  <c r="L191" i="5"/>
  <c r="L190" i="5"/>
  <c r="L189" i="5"/>
  <c r="I188" i="5"/>
  <c r="L188" i="5" s="1"/>
  <c r="L187" i="5"/>
  <c r="L186" i="5"/>
  <c r="L185" i="5"/>
  <c r="L184" i="5"/>
  <c r="I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68" i="5"/>
  <c r="L167" i="5"/>
  <c r="L166" i="5"/>
  <c r="L165" i="5"/>
  <c r="L164" i="5"/>
  <c r="L163" i="5"/>
  <c r="L162" i="5"/>
  <c r="L161" i="5"/>
  <c r="L160" i="5"/>
  <c r="G159" i="5"/>
  <c r="L159" i="5" s="1"/>
  <c r="L158" i="5"/>
  <c r="L157" i="5"/>
  <c r="L156" i="5"/>
  <c r="G156" i="5"/>
  <c r="L155" i="5"/>
  <c r="L154" i="5"/>
  <c r="L153" i="5"/>
  <c r="G152" i="5"/>
  <c r="L152" i="5" s="1"/>
  <c r="L151" i="5"/>
  <c r="G150" i="5"/>
  <c r="L150" i="5" s="1"/>
  <c r="L149" i="5"/>
  <c r="L148" i="5"/>
  <c r="L146" i="5"/>
  <c r="L145" i="5"/>
  <c r="L144" i="5"/>
  <c r="L143" i="5"/>
  <c r="L142" i="5"/>
  <c r="L141" i="5"/>
  <c r="L140" i="5"/>
  <c r="L139" i="5"/>
  <c r="L138" i="5"/>
  <c r="G137" i="5"/>
  <c r="L137" i="5" s="1"/>
  <c r="L136" i="5"/>
  <c r="L135" i="5"/>
  <c r="G134" i="5"/>
  <c r="L134" i="5" s="1"/>
  <c r="L133" i="5"/>
  <c r="L132" i="5"/>
  <c r="L131" i="5"/>
  <c r="G130" i="5"/>
  <c r="L130" i="5" s="1"/>
  <c r="L129" i="5"/>
  <c r="G128" i="5"/>
  <c r="L128" i="5" s="1"/>
  <c r="L127" i="5"/>
  <c r="L126" i="5"/>
  <c r="L124" i="5"/>
  <c r="L123" i="5"/>
  <c r="L122" i="5"/>
  <c r="L121" i="5"/>
  <c r="L120" i="5"/>
  <c r="L119" i="5"/>
  <c r="L118" i="5"/>
  <c r="L117" i="5"/>
  <c r="L116" i="5"/>
  <c r="L115" i="5"/>
  <c r="G115" i="5"/>
  <c r="L114" i="5"/>
  <c r="L113" i="5"/>
  <c r="G112" i="5"/>
  <c r="L112" i="5" s="1"/>
  <c r="L111" i="5"/>
  <c r="L110" i="5"/>
  <c r="L109" i="5"/>
  <c r="G108" i="5"/>
  <c r="L108" i="5" s="1"/>
  <c r="L107" i="5"/>
  <c r="G106" i="5"/>
  <c r="L106" i="5" s="1"/>
  <c r="L105" i="5"/>
  <c r="L104" i="5"/>
  <c r="L100" i="5"/>
  <c r="L98" i="5"/>
  <c r="L97" i="5"/>
  <c r="L96" i="5"/>
  <c r="L95" i="5"/>
  <c r="L92" i="5"/>
  <c r="L90" i="5"/>
  <c r="L89" i="5"/>
  <c r="L88" i="5"/>
  <c r="L87" i="5"/>
  <c r="L84" i="5"/>
  <c r="L82" i="5"/>
  <c r="L81" i="5"/>
  <c r="P76" i="5" s="1"/>
  <c r="L80" i="5"/>
  <c r="L79" i="5"/>
  <c r="L74" i="5"/>
  <c r="L73" i="5"/>
  <c r="L70" i="5"/>
  <c r="L69" i="5"/>
  <c r="L68" i="5"/>
  <c r="L67" i="5"/>
  <c r="L66" i="5"/>
  <c r="L64" i="5"/>
  <c r="L62" i="5"/>
  <c r="L61" i="5"/>
  <c r="L60" i="5"/>
  <c r="L59" i="5"/>
  <c r="L58" i="5"/>
  <c r="L57" i="5"/>
  <c r="L56" i="5"/>
  <c r="L53" i="5"/>
  <c r="L52" i="5"/>
  <c r="L51" i="5"/>
  <c r="L50" i="5"/>
  <c r="L48" i="5"/>
  <c r="L46" i="5"/>
  <c r="L45" i="5"/>
  <c r="L44" i="5"/>
  <c r="L43" i="5"/>
  <c r="L42" i="5"/>
  <c r="L41" i="5"/>
  <c r="L40" i="5"/>
  <c r="L37" i="5"/>
  <c r="L36" i="5"/>
  <c r="L35" i="5"/>
  <c r="L34" i="5"/>
  <c r="L33" i="5"/>
  <c r="L31" i="5"/>
  <c r="L29" i="5"/>
  <c r="P20" i="5" s="1"/>
  <c r="L28" i="5"/>
  <c r="L27" i="5"/>
  <c r="L26" i="5"/>
  <c r="L25" i="5"/>
  <c r="L24" i="5"/>
  <c r="L23" i="5"/>
  <c r="W1" i="5"/>
  <c r="P19" i="11" l="1"/>
  <c r="E13" i="15" s="1"/>
  <c r="L415" i="11"/>
  <c r="L525" i="11"/>
  <c r="P202" i="11"/>
  <c r="E16" i="15" s="1"/>
  <c r="L409" i="11"/>
  <c r="K421" i="12"/>
  <c r="N59" i="17"/>
  <c r="P19" i="9"/>
  <c r="G13" i="15" s="1"/>
  <c r="P142" i="9"/>
  <c r="G14" i="15" s="1"/>
  <c r="P468" i="9"/>
  <c r="G17" i="15" s="1"/>
  <c r="L456" i="9"/>
  <c r="L389" i="9"/>
  <c r="P530" i="9"/>
  <c r="G18" i="15" s="1"/>
  <c r="L394" i="10"/>
  <c r="L347" i="10"/>
  <c r="L382" i="10"/>
  <c r="P218" i="10"/>
  <c r="F18" i="15" s="1"/>
  <c r="P133" i="10"/>
  <c r="F16" i="15" s="1"/>
  <c r="P192" i="10"/>
  <c r="F17" i="15" s="1"/>
  <c r="P79" i="10"/>
  <c r="F15" i="15" s="1"/>
  <c r="P84" i="11"/>
  <c r="E14" i="15" s="1"/>
  <c r="P300" i="11"/>
  <c r="E18" i="15" s="1"/>
  <c r="L464" i="11"/>
  <c r="P274" i="11"/>
  <c r="E17" i="15" s="1"/>
  <c r="K401" i="12"/>
  <c r="P170" i="7"/>
  <c r="P170" i="5"/>
  <c r="P185" i="9"/>
  <c r="G15" i="15" s="1"/>
  <c r="P20" i="6"/>
  <c r="P430" i="8"/>
  <c r="P234" i="8"/>
  <c r="P19" i="10"/>
  <c r="F13" i="15" s="1"/>
  <c r="P117" i="11"/>
  <c r="E15" i="15" s="1"/>
  <c r="L537" i="11"/>
  <c r="L444" i="9"/>
  <c r="P283" i="9" s="1"/>
  <c r="G16" i="15" s="1"/>
  <c r="L403" i="11"/>
  <c r="O195" i="12"/>
  <c r="D16" i="15" s="1"/>
  <c r="L327" i="10"/>
  <c r="L449" i="10"/>
  <c r="L531" i="11"/>
  <c r="O144" i="12"/>
  <c r="D15" i="15" s="1"/>
  <c r="P107" i="6"/>
  <c r="L429" i="11"/>
  <c r="L470" i="11"/>
  <c r="P549" i="11"/>
  <c r="K456" i="12"/>
  <c r="L321" i="10"/>
  <c r="O258" i="12"/>
  <c r="D17" i="15" s="1"/>
  <c r="P611" i="11"/>
  <c r="O114" i="12"/>
  <c r="D14" i="15" s="1"/>
  <c r="L450" i="9"/>
  <c r="K529" i="12"/>
  <c r="O292" i="12"/>
  <c r="D18" i="15" s="1"/>
  <c r="O19" i="12"/>
  <c r="D13" i="15" s="1"/>
  <c r="K517" i="12"/>
  <c r="K468" i="12"/>
  <c r="K395" i="12"/>
  <c r="K407" i="12"/>
  <c r="K462" i="12"/>
  <c r="O541" i="12"/>
  <c r="K482" i="12"/>
  <c r="K523" i="12"/>
  <c r="K360" i="12"/>
  <c r="O603" i="12"/>
  <c r="L286" i="10"/>
  <c r="L443" i="10"/>
  <c r="L455" i="10"/>
  <c r="P467" i="10"/>
  <c r="P529" i="10"/>
  <c r="P164" i="8"/>
  <c r="P102" i="5"/>
  <c r="U17" i="15" l="1"/>
  <c r="U14" i="15"/>
  <c r="O356" i="12"/>
  <c r="U16" i="15"/>
  <c r="P282" i="10"/>
  <c r="U18" i="15"/>
  <c r="U13" i="15"/>
  <c r="U15" i="15"/>
  <c r="P364" i="11"/>
  <c r="L290" i="3"/>
  <c r="L289" i="3"/>
  <c r="L288" i="3"/>
  <c r="L287" i="3"/>
  <c r="H286" i="3"/>
  <c r="L286" i="3" s="1"/>
  <c r="L284" i="3"/>
  <c r="L283" i="3"/>
  <c r="L282" i="3"/>
  <c r="H281" i="3"/>
  <c r="L281" i="3" s="1"/>
  <c r="L280" i="3"/>
  <c r="L279" i="3"/>
  <c r="L267" i="3"/>
  <c r="L266" i="3"/>
  <c r="L274" i="3"/>
  <c r="L273" i="3"/>
  <c r="L272" i="3"/>
  <c r="L271" i="3"/>
  <c r="L264" i="3"/>
  <c r="L263" i="3"/>
  <c r="L262" i="3"/>
  <c r="L261" i="3"/>
  <c r="P258" i="3" s="1"/>
  <c r="L256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3" i="3"/>
  <c r="L212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2" i="3"/>
  <c r="L192" i="3" s="1"/>
  <c r="I191" i="3"/>
  <c r="L191" i="3" s="1"/>
  <c r="I190" i="3"/>
  <c r="L190" i="3" s="1"/>
  <c r="I189" i="3"/>
  <c r="L189" i="3" s="1"/>
  <c r="I188" i="3"/>
  <c r="L188" i="3" s="1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6" i="3"/>
  <c r="L165" i="3"/>
  <c r="L164" i="3"/>
  <c r="L162" i="3"/>
  <c r="L161" i="3"/>
  <c r="L160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G142" i="3"/>
  <c r="L142" i="3" s="1"/>
  <c r="L141" i="3"/>
  <c r="L140" i="3"/>
  <c r="L137" i="3"/>
  <c r="L136" i="3"/>
  <c r="L135" i="3"/>
  <c r="L134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G120" i="3"/>
  <c r="L120" i="3" s="1"/>
  <c r="L117" i="3"/>
  <c r="L116" i="3"/>
  <c r="L115" i="3"/>
  <c r="L114" i="3"/>
  <c r="L113" i="3"/>
  <c r="L112" i="3"/>
  <c r="L111" i="3"/>
  <c r="L110" i="3"/>
  <c r="I109" i="3"/>
  <c r="L109" i="3" s="1"/>
  <c r="L104" i="3"/>
  <c r="L103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I84" i="3"/>
  <c r="L84" i="3" s="1"/>
  <c r="L80" i="3"/>
  <c r="L79" i="3"/>
  <c r="L78" i="3"/>
  <c r="L77" i="3"/>
  <c r="L76" i="3"/>
  <c r="L75" i="3"/>
  <c r="L74" i="3"/>
  <c r="G68" i="3"/>
  <c r="L68" i="3" s="1"/>
  <c r="L64" i="3"/>
  <c r="L63" i="3"/>
  <c r="L62" i="3"/>
  <c r="L61" i="3"/>
  <c r="L60" i="3"/>
  <c r="L59" i="3"/>
  <c r="L58" i="3"/>
  <c r="L57" i="3"/>
  <c r="L56" i="3"/>
  <c r="L55" i="3"/>
  <c r="L54" i="3"/>
  <c r="L51" i="3"/>
  <c r="L50" i="3"/>
  <c r="L49" i="3"/>
  <c r="L48" i="3"/>
  <c r="L47" i="3"/>
  <c r="L46" i="3"/>
  <c r="L44" i="3"/>
  <c r="L41" i="3"/>
  <c r="L40" i="3"/>
  <c r="L37" i="3"/>
  <c r="L36" i="3"/>
  <c r="L35" i="3"/>
  <c r="L34" i="3"/>
  <c r="L33" i="3"/>
  <c r="L32" i="3"/>
  <c r="L31" i="3"/>
  <c r="L30" i="3"/>
  <c r="I29" i="3"/>
  <c r="L29" i="3" s="1"/>
  <c r="I28" i="3"/>
  <c r="L28" i="3" s="1"/>
  <c r="I26" i="3"/>
  <c r="L26" i="3" s="1"/>
  <c r="I25" i="3"/>
  <c r="L25" i="3" s="1"/>
  <c r="G24" i="3"/>
  <c r="L24" i="3" s="1"/>
  <c r="L23" i="3"/>
  <c r="W1" i="3"/>
  <c r="L358" i="2"/>
  <c r="L357" i="2"/>
  <c r="L356" i="2"/>
  <c r="L355" i="2"/>
  <c r="L354" i="2"/>
  <c r="L353" i="2"/>
  <c r="L352" i="2"/>
  <c r="L351" i="2"/>
  <c r="L350" i="2"/>
  <c r="L349" i="2"/>
  <c r="L348" i="2"/>
  <c r="L345" i="2"/>
  <c r="L344" i="2"/>
  <c r="L343" i="2"/>
  <c r="L342" i="2"/>
  <c r="L341" i="2"/>
  <c r="L340" i="2"/>
  <c r="L339" i="2"/>
  <c r="L338" i="2"/>
  <c r="L335" i="2"/>
  <c r="L334" i="2"/>
  <c r="L333" i="2"/>
  <c r="L332" i="2"/>
  <c r="L331" i="2"/>
  <c r="L330" i="2"/>
  <c r="L329" i="2"/>
  <c r="L328" i="2"/>
  <c r="L324" i="2"/>
  <c r="L323" i="2"/>
  <c r="L322" i="2"/>
  <c r="L321" i="2"/>
  <c r="L307" i="2"/>
  <c r="L306" i="2"/>
  <c r="L299" i="2"/>
  <c r="L319" i="2"/>
  <c r="L318" i="2"/>
  <c r="L317" i="2"/>
  <c r="L316" i="2"/>
  <c r="L315" i="2"/>
  <c r="L314" i="2"/>
  <c r="L313" i="2"/>
  <c r="L312" i="2"/>
  <c r="L311" i="2"/>
  <c r="L304" i="2"/>
  <c r="L303" i="2"/>
  <c r="L297" i="2"/>
  <c r="L296" i="2"/>
  <c r="L295" i="2"/>
  <c r="L287" i="2"/>
  <c r="L149" i="2"/>
  <c r="L290" i="2"/>
  <c r="L289" i="2"/>
  <c r="L288" i="2"/>
  <c r="L284" i="2"/>
  <c r="L283" i="2"/>
  <c r="L282" i="2"/>
  <c r="L281" i="2"/>
  <c r="L280" i="2"/>
  <c r="L279" i="2"/>
  <c r="L278" i="2"/>
  <c r="L277" i="2"/>
  <c r="L276" i="2"/>
  <c r="L275" i="2"/>
  <c r="I274" i="2"/>
  <c r="L274" i="2" s="1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5" i="2"/>
  <c r="L254" i="2"/>
  <c r="L253" i="2"/>
  <c r="L252" i="2"/>
  <c r="L251" i="2"/>
  <c r="H250" i="2"/>
  <c r="L250" i="2" s="1"/>
  <c r="L249" i="2"/>
  <c r="L248" i="2"/>
  <c r="L247" i="2"/>
  <c r="I246" i="2"/>
  <c r="L246" i="2" s="1"/>
  <c r="L245" i="2"/>
  <c r="H244" i="2"/>
  <c r="L244" i="2" s="1"/>
  <c r="L243" i="2"/>
  <c r="L242" i="2"/>
  <c r="L241" i="2"/>
  <c r="L240" i="2"/>
  <c r="L239" i="2"/>
  <c r="L238" i="2"/>
  <c r="L237" i="2"/>
  <c r="L234" i="2"/>
  <c r="L233" i="2"/>
  <c r="L232" i="2"/>
  <c r="L231" i="2"/>
  <c r="L230" i="2"/>
  <c r="L229" i="2"/>
  <c r="L228" i="2"/>
  <c r="L227" i="2"/>
  <c r="L226" i="2"/>
  <c r="I225" i="2"/>
  <c r="L225" i="2" s="1"/>
  <c r="L224" i="2"/>
  <c r="L223" i="2"/>
  <c r="L222" i="2"/>
  <c r="L221" i="2"/>
  <c r="L220" i="2"/>
  <c r="L219" i="2"/>
  <c r="L218" i="2"/>
  <c r="L217" i="2"/>
  <c r="L216" i="2"/>
  <c r="L212" i="2"/>
  <c r="L211" i="2"/>
  <c r="L210" i="2"/>
  <c r="L209" i="2"/>
  <c r="L208" i="2"/>
  <c r="L207" i="2"/>
  <c r="L206" i="2"/>
  <c r="L205" i="2"/>
  <c r="L204" i="2"/>
  <c r="L203" i="2"/>
  <c r="G202" i="2"/>
  <c r="L202" i="2" s="1"/>
  <c r="L201" i="2"/>
  <c r="G200" i="2"/>
  <c r="L200" i="2" s="1"/>
  <c r="L199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L183" i="2"/>
  <c r="G182" i="2"/>
  <c r="L182" i="2" s="1"/>
  <c r="L181" i="2"/>
  <c r="L180" i="2"/>
  <c r="L179" i="2"/>
  <c r="G178" i="2"/>
  <c r="L178" i="2" s="1"/>
  <c r="L177" i="2"/>
  <c r="G176" i="2"/>
  <c r="L176" i="2" s="1"/>
  <c r="L175" i="2"/>
  <c r="L174" i="2"/>
  <c r="L173" i="2"/>
  <c r="L172" i="2"/>
  <c r="L171" i="2"/>
  <c r="G170" i="2"/>
  <c r="L170" i="2" s="1"/>
  <c r="L169" i="2"/>
  <c r="G168" i="2"/>
  <c r="L168" i="2" s="1"/>
  <c r="G167" i="2"/>
  <c r="L167" i="2" s="1"/>
  <c r="L166" i="2"/>
  <c r="L165" i="2"/>
  <c r="L163" i="2"/>
  <c r="L162" i="2"/>
  <c r="L161" i="2"/>
  <c r="L160" i="2"/>
  <c r="L159" i="2"/>
  <c r="L158" i="2"/>
  <c r="L157" i="2"/>
  <c r="L156" i="2"/>
  <c r="L155" i="2"/>
  <c r="G154" i="2"/>
  <c r="L154" i="2" s="1"/>
  <c r="L153" i="2"/>
  <c r="L152" i="2"/>
  <c r="L151" i="2"/>
  <c r="L150" i="2"/>
  <c r="L148" i="2"/>
  <c r="L147" i="2"/>
  <c r="L146" i="2"/>
  <c r="L145" i="2"/>
  <c r="G144" i="2"/>
  <c r="L144" i="2" s="1"/>
  <c r="L143" i="2"/>
  <c r="L142" i="2"/>
  <c r="L141" i="2"/>
  <c r="L137" i="2"/>
  <c r="L136" i="2"/>
  <c r="L135" i="2"/>
  <c r="L134" i="2"/>
  <c r="L133" i="2"/>
  <c r="L132" i="2"/>
  <c r="L131" i="2"/>
  <c r="L130" i="2"/>
  <c r="L129" i="2"/>
  <c r="L125" i="2"/>
  <c r="L124" i="2"/>
  <c r="L123" i="2"/>
  <c r="L121" i="2"/>
  <c r="L120" i="2"/>
  <c r="L119" i="2"/>
  <c r="L118" i="2"/>
  <c r="L117" i="2"/>
  <c r="L116" i="2"/>
  <c r="L114" i="2"/>
  <c r="L113" i="2"/>
  <c r="L112" i="2"/>
  <c r="L111" i="2"/>
  <c r="L110" i="2"/>
  <c r="L109" i="2"/>
  <c r="G104" i="2"/>
  <c r="L104" i="2" s="1"/>
  <c r="G103" i="2"/>
  <c r="L103" i="2" s="1"/>
  <c r="G102" i="2"/>
  <c r="L102" i="2" s="1"/>
  <c r="G101" i="2"/>
  <c r="L101" i="2" s="1"/>
  <c r="L98" i="2"/>
  <c r="L95" i="2"/>
  <c r="L93" i="2"/>
  <c r="L92" i="2"/>
  <c r="L91" i="2"/>
  <c r="L90" i="2"/>
  <c r="L85" i="2"/>
  <c r="L84" i="2"/>
  <c r="L83" i="2"/>
  <c r="L82" i="2"/>
  <c r="L81" i="2"/>
  <c r="L79" i="2"/>
  <c r="L78" i="2"/>
  <c r="L76" i="2"/>
  <c r="L75" i="2"/>
  <c r="L74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4" i="2"/>
  <c r="L53" i="2"/>
  <c r="L49" i="2"/>
  <c r="L48" i="2"/>
  <c r="L46" i="2"/>
  <c r="L45" i="2"/>
  <c r="L43" i="2"/>
  <c r="L42" i="2"/>
  <c r="L41" i="2"/>
  <c r="L40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5" i="2"/>
  <c r="L24" i="2"/>
  <c r="L23" i="2"/>
  <c r="W1" i="2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6" i="1"/>
  <c r="L415" i="1"/>
  <c r="L412" i="1"/>
  <c r="L411" i="1"/>
  <c r="L408" i="1"/>
  <c r="L405" i="1"/>
  <c r="L402" i="1"/>
  <c r="L399" i="1"/>
  <c r="L396" i="1"/>
  <c r="L395" i="1"/>
  <c r="L394" i="1"/>
  <c r="L393" i="1"/>
  <c r="L390" i="1"/>
  <c r="L391" i="1"/>
  <c r="L387" i="1"/>
  <c r="L382" i="1"/>
  <c r="H439" i="1"/>
  <c r="L439" i="1" s="1"/>
  <c r="L437" i="1"/>
  <c r="H437" i="1"/>
  <c r="L435" i="1"/>
  <c r="P276" i="3" l="1"/>
  <c r="P326" i="2"/>
  <c r="P384" i="1"/>
  <c r="P292" i="2"/>
  <c r="P70" i="3"/>
  <c r="P20" i="3"/>
  <c r="P214" i="2"/>
  <c r="P106" i="3"/>
  <c r="P20" i="2"/>
  <c r="P433" i="1"/>
  <c r="P106" i="2"/>
  <c r="P139" i="2"/>
  <c r="L195" i="3"/>
  <c r="L203" i="3"/>
  <c r="L243" i="3"/>
  <c r="L251" i="3"/>
  <c r="L197" i="3"/>
  <c r="L205" i="3"/>
  <c r="L253" i="3"/>
  <c r="L201" i="3"/>
  <c r="L209" i="3"/>
  <c r="L247" i="3"/>
  <c r="L244" i="3"/>
  <c r="L245" i="3"/>
  <c r="L210" i="3"/>
  <c r="L249" i="3"/>
  <c r="L242" i="3"/>
  <c r="L250" i="3"/>
  <c r="L198" i="3"/>
  <c r="L206" i="3"/>
  <c r="L199" i="3"/>
  <c r="P168" i="3" s="1"/>
  <c r="L207" i="3"/>
  <c r="L252" i="3"/>
  <c r="L239" i="3"/>
  <c r="L204" i="3"/>
  <c r="L208" i="3"/>
  <c r="L202" i="3"/>
  <c r="L196" i="3"/>
  <c r="L238" i="3"/>
  <c r="L246" i="3"/>
  <c r="L240" i="3"/>
  <c r="L241" i="3"/>
  <c r="L254" i="3"/>
  <c r="L248" i="3"/>
  <c r="L200" i="3"/>
  <c r="I295" i="1" l="1"/>
  <c r="L295" i="1" s="1"/>
  <c r="L294" i="1"/>
  <c r="L293" i="1"/>
  <c r="L292" i="1"/>
  <c r="L291" i="1"/>
  <c r="L290" i="1"/>
  <c r="L289" i="1"/>
  <c r="L287" i="1"/>
  <c r="L286" i="1"/>
  <c r="I285" i="1"/>
  <c r="L285" i="1" s="1"/>
  <c r="I284" i="1"/>
  <c r="L284" i="1" s="1"/>
  <c r="I283" i="1"/>
  <c r="L283" i="1" s="1"/>
  <c r="I282" i="1"/>
  <c r="L282" i="1" s="1"/>
  <c r="I281" i="1"/>
  <c r="L281" i="1" s="1"/>
  <c r="L278" i="1"/>
  <c r="L277" i="1"/>
  <c r="L276" i="1"/>
  <c r="L275" i="1"/>
  <c r="I279" i="1"/>
  <c r="L279" i="1" s="1"/>
  <c r="I269" i="1"/>
  <c r="I268" i="1"/>
  <c r="I267" i="1"/>
  <c r="I266" i="1"/>
  <c r="I265" i="1"/>
  <c r="I257" i="1"/>
  <c r="L257" i="1" s="1"/>
  <c r="I256" i="1"/>
  <c r="L256" i="1" s="1"/>
  <c r="I255" i="1"/>
  <c r="I254" i="1"/>
  <c r="I253" i="1"/>
  <c r="I252" i="1"/>
  <c r="G217" i="1"/>
  <c r="G216" i="1"/>
  <c r="G215" i="1"/>
  <c r="G214" i="1"/>
  <c r="G213" i="1"/>
  <c r="L211" i="1"/>
  <c r="L210" i="1"/>
  <c r="L209" i="1"/>
  <c r="L208" i="1"/>
  <c r="L207" i="1"/>
  <c r="L206" i="1"/>
  <c r="L205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G169" i="1"/>
  <c r="G168" i="1"/>
  <c r="I162" i="1"/>
  <c r="L162" i="1" s="1"/>
  <c r="I161" i="1"/>
  <c r="L161" i="1" s="1"/>
  <c r="I159" i="1"/>
  <c r="L159" i="1" s="1"/>
  <c r="I158" i="1"/>
  <c r="L158" i="1" s="1"/>
  <c r="I157" i="1"/>
  <c r="L157" i="1" s="1"/>
  <c r="L156" i="1"/>
  <c r="L155" i="1"/>
  <c r="L153" i="1"/>
  <c r="L152" i="1"/>
  <c r="L149" i="1"/>
  <c r="L148" i="1"/>
  <c r="L147" i="1"/>
  <c r="L145" i="1"/>
  <c r="L144" i="1"/>
  <c r="L143" i="1"/>
  <c r="L142" i="1"/>
  <c r="L141" i="1"/>
  <c r="L139" i="1"/>
  <c r="I138" i="1"/>
  <c r="L138" i="1" s="1"/>
  <c r="I137" i="1"/>
  <c r="L137" i="1" s="1"/>
  <c r="I128" i="1"/>
  <c r="L128" i="1" s="1"/>
  <c r="I127" i="1"/>
  <c r="L127" i="1" s="1"/>
  <c r="I135" i="1"/>
  <c r="L135" i="1" s="1"/>
  <c r="L134" i="1"/>
  <c r="L133" i="1"/>
  <c r="L132" i="1"/>
  <c r="L131" i="1"/>
  <c r="L129" i="1"/>
  <c r="L125" i="1"/>
  <c r="I123" i="1"/>
  <c r="L123" i="1" s="1"/>
  <c r="I122" i="1"/>
  <c r="L122" i="1" s="1"/>
  <c r="I121" i="1"/>
  <c r="L121" i="1" s="1"/>
  <c r="I120" i="1"/>
  <c r="L120" i="1" s="1"/>
  <c r="I119" i="1"/>
  <c r="L119" i="1" s="1"/>
  <c r="I118" i="1"/>
  <c r="L118" i="1" s="1"/>
  <c r="I117" i="1"/>
  <c r="L117" i="1" s="1"/>
  <c r="I116" i="1"/>
  <c r="L116" i="1" s="1"/>
  <c r="I115" i="1"/>
  <c r="L115" i="1" s="1"/>
  <c r="I114" i="1"/>
  <c r="L114" i="1" s="1"/>
  <c r="I113" i="1"/>
  <c r="L113" i="1" s="1"/>
  <c r="I112" i="1"/>
  <c r="L112" i="1" s="1"/>
  <c r="I111" i="1"/>
  <c r="L111" i="1" s="1"/>
  <c r="I106" i="1"/>
  <c r="L106" i="1" s="1"/>
  <c r="I105" i="1"/>
  <c r="L105" i="1" s="1"/>
  <c r="I104" i="1"/>
  <c r="L104" i="1" s="1"/>
  <c r="I110" i="1"/>
  <c r="L110" i="1" s="1"/>
  <c r="I109" i="1"/>
  <c r="L109" i="1" s="1"/>
  <c r="I108" i="1"/>
  <c r="L108" i="1" s="1"/>
  <c r="I107" i="1"/>
  <c r="L107" i="1" s="1"/>
  <c r="L84" i="1"/>
  <c r="L82" i="1"/>
  <c r="L81" i="1"/>
  <c r="L80" i="1"/>
  <c r="L78" i="1"/>
  <c r="L77" i="1"/>
  <c r="L76" i="1"/>
  <c r="L75" i="1"/>
  <c r="L74" i="1"/>
  <c r="L72" i="1"/>
  <c r="L71" i="1"/>
  <c r="L70" i="1"/>
  <c r="L69" i="1"/>
  <c r="L68" i="1"/>
  <c r="L66" i="1"/>
  <c r="L65" i="1"/>
  <c r="L64" i="1"/>
  <c r="L59" i="1"/>
  <c r="L60" i="1"/>
  <c r="L57" i="1"/>
  <c r="L52" i="1"/>
  <c r="I99" i="1"/>
  <c r="L99" i="1" s="1"/>
  <c r="L97" i="1"/>
  <c r="L96" i="1"/>
  <c r="L95" i="1"/>
  <c r="L94" i="1"/>
  <c r="I93" i="1"/>
  <c r="L98" i="1"/>
  <c r="L32" i="1"/>
  <c r="L31" i="1"/>
  <c r="L43" i="1"/>
  <c r="L42" i="1"/>
  <c r="L41" i="1"/>
  <c r="L40" i="1"/>
  <c r="L39" i="1"/>
  <c r="I38" i="1"/>
  <c r="L38" i="1" s="1"/>
  <c r="L37" i="1"/>
  <c r="I36" i="1"/>
  <c r="L36" i="1" s="1"/>
  <c r="L33" i="1"/>
  <c r="L35" i="1"/>
  <c r="L30" i="1"/>
  <c r="I28" i="1"/>
  <c r="L28" i="1" s="1"/>
  <c r="I27" i="1"/>
  <c r="I26" i="1"/>
  <c r="L26" i="1" s="1"/>
  <c r="I25" i="1"/>
  <c r="I24" i="1"/>
  <c r="L24" i="1" s="1"/>
  <c r="L23" i="1"/>
  <c r="P101" i="1" l="1"/>
  <c r="L381" i="1"/>
  <c r="L380" i="1"/>
  <c r="L379" i="1"/>
  <c r="L378" i="1"/>
  <c r="L376" i="1"/>
  <c r="L375" i="1"/>
  <c r="L374" i="1"/>
  <c r="L373" i="1"/>
  <c r="L372" i="1"/>
  <c r="L370" i="1"/>
  <c r="L369" i="1"/>
  <c r="L368" i="1"/>
  <c r="L367" i="1"/>
  <c r="L366" i="1"/>
  <c r="L364" i="1"/>
  <c r="L363" i="1"/>
  <c r="L362" i="1"/>
  <c r="L361" i="1"/>
  <c r="L360" i="1"/>
  <c r="L358" i="1"/>
  <c r="L357" i="1"/>
  <c r="L356" i="1"/>
  <c r="L355" i="1"/>
  <c r="L354" i="1"/>
  <c r="L352" i="1"/>
  <c r="L351" i="1"/>
  <c r="L350" i="1"/>
  <c r="L349" i="1"/>
  <c r="L348" i="1"/>
  <c r="L344" i="1"/>
  <c r="L342" i="1"/>
  <c r="L341" i="1"/>
  <c r="G340" i="1"/>
  <c r="L340" i="1" s="1"/>
  <c r="L339" i="1"/>
  <c r="L338" i="1"/>
  <c r="L336" i="1"/>
  <c r="L335" i="1"/>
  <c r="L334" i="1"/>
  <c r="L333" i="1"/>
  <c r="L332" i="1"/>
  <c r="L330" i="1"/>
  <c r="L329" i="1"/>
  <c r="G328" i="1"/>
  <c r="L328" i="1" s="1"/>
  <c r="L327" i="1"/>
  <c r="L326" i="1"/>
  <c r="L324" i="1"/>
  <c r="L323" i="1"/>
  <c r="G322" i="1"/>
  <c r="L322" i="1" s="1"/>
  <c r="L321" i="1"/>
  <c r="L320" i="1"/>
  <c r="L318" i="1"/>
  <c r="L317" i="1"/>
  <c r="G316" i="1"/>
  <c r="L316" i="1" s="1"/>
  <c r="L315" i="1"/>
  <c r="L314" i="1"/>
  <c r="L312" i="1"/>
  <c r="L311" i="1"/>
  <c r="G310" i="1"/>
  <c r="L310" i="1" s="1"/>
  <c r="L309" i="1"/>
  <c r="L308" i="1"/>
  <c r="L303" i="1"/>
  <c r="L302" i="1"/>
  <c r="L301" i="1"/>
  <c r="L300" i="1"/>
  <c r="L299" i="1"/>
  <c r="L298" i="1"/>
  <c r="L297" i="1"/>
  <c r="L274" i="1"/>
  <c r="L273" i="1"/>
  <c r="L271" i="1"/>
  <c r="L270" i="1"/>
  <c r="L269" i="1"/>
  <c r="L268" i="1"/>
  <c r="L267" i="1"/>
  <c r="L266" i="1"/>
  <c r="L265" i="1"/>
  <c r="L263" i="1"/>
  <c r="L262" i="1"/>
  <c r="L261" i="1"/>
  <c r="L260" i="1"/>
  <c r="L259" i="1"/>
  <c r="L255" i="1"/>
  <c r="L254" i="1"/>
  <c r="L253" i="1"/>
  <c r="L252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19" i="1"/>
  <c r="L218" i="1"/>
  <c r="L217" i="1"/>
  <c r="L216" i="1"/>
  <c r="L215" i="1"/>
  <c r="L214" i="1"/>
  <c r="L213" i="1"/>
  <c r="L187" i="1"/>
  <c r="L186" i="1"/>
  <c r="L185" i="1"/>
  <c r="L184" i="1"/>
  <c r="L183" i="1"/>
  <c r="L182" i="1"/>
  <c r="L181" i="1"/>
  <c r="L179" i="1"/>
  <c r="L178" i="1"/>
  <c r="L177" i="1"/>
  <c r="L176" i="1"/>
  <c r="L175" i="1"/>
  <c r="L173" i="1"/>
  <c r="L172" i="1"/>
  <c r="L171" i="1"/>
  <c r="L170" i="1"/>
  <c r="L169" i="1"/>
  <c r="L168" i="1"/>
  <c r="L167" i="1"/>
  <c r="L93" i="1"/>
  <c r="L89" i="1"/>
  <c r="L88" i="1"/>
  <c r="L87" i="1"/>
  <c r="L86" i="1"/>
  <c r="L85" i="1"/>
  <c r="L63" i="1"/>
  <c r="L62" i="1"/>
  <c r="L58" i="1"/>
  <c r="L56" i="1"/>
  <c r="L54" i="1"/>
  <c r="L53" i="1"/>
  <c r="L51" i="1"/>
  <c r="L49" i="1"/>
  <c r="L48" i="1"/>
  <c r="L47" i="1"/>
  <c r="L46" i="1"/>
  <c r="L45" i="1"/>
  <c r="L44" i="1"/>
  <c r="L34" i="1"/>
  <c r="L29" i="1"/>
  <c r="L27" i="1"/>
  <c r="L25" i="1"/>
  <c r="P20" i="1" s="1"/>
  <c r="W1" i="1"/>
  <c r="P164" i="1" l="1"/>
  <c r="P305" i="1"/>
</calcChain>
</file>

<file path=xl/sharedStrings.xml><?xml version="1.0" encoding="utf-8"?>
<sst xmlns="http://schemas.openxmlformats.org/spreadsheetml/2006/main" count="9558" uniqueCount="1188">
  <si>
    <t>m2</t>
  </si>
  <si>
    <t xml:space="preserve">HOJA DE METRADOS - ARQUITECTURA </t>
  </si>
  <si>
    <t>Proyecto     :</t>
  </si>
  <si>
    <t xml:space="preserve">"MEJORAMIENTO DEL SERVICIO EDUCATIVO EN LA I.E.P. N°54002 SANTA ROSA E I.E.S. SANTA ROSA DEL DISTRITO DE ABANCAY, PROVINCIA DE ABANCAY - REGIÓN APURIMAC"_x000D_
</t>
  </si>
  <si>
    <t>Propietario   :</t>
  </si>
  <si>
    <t>G.R.A</t>
  </si>
  <si>
    <t>Hecho por      :</t>
  </si>
  <si>
    <t>E.A.C.</t>
  </si>
  <si>
    <t>Fecha          :</t>
  </si>
  <si>
    <t>Revisado  por :</t>
  </si>
  <si>
    <t>Especialidad:</t>
  </si>
  <si>
    <t>ARQUITECTURA</t>
  </si>
  <si>
    <t>Modulo        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</si>
  <si>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</si>
  <si>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</si>
  <si>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</si>
  <si>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</si>
  <si>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</si>
  <si>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</si>
  <si>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</si>
  <si>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</si>
  <si>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Nivel</t>
  </si>
  <si>
    <t>Largo</t>
  </si>
  <si>
    <t>Ancho</t>
  </si>
  <si>
    <t>Alto</t>
  </si>
  <si>
    <t>Lon.</t>
  </si>
  <si>
    <t>Área</t>
  </si>
  <si>
    <t>Vol.</t>
  </si>
  <si>
    <t>Kg.</t>
  </si>
  <si>
    <t>Und.</t>
  </si>
  <si>
    <t>BLOQUE - 11</t>
  </si>
  <si>
    <t>BLOQUE  -  11</t>
  </si>
  <si>
    <t>MURO DE LADRILLO KK TIPO IV CABEZA, M: 1:1:4, E=1.5cm</t>
  </si>
  <si>
    <t xml:space="preserve">PRIMER NIVEL </t>
  </si>
  <si>
    <t xml:space="preserve">EJE B - EJE F / EJE 2 </t>
  </si>
  <si>
    <t>EJE B / EJE 3 - EJE 14</t>
  </si>
  <si>
    <t>EJE A / EJE 2 - EJE 3</t>
  </si>
  <si>
    <t>EJE A / EJE 3 - EJE 5</t>
  </si>
  <si>
    <t>EJE A / EJE 5 - EJE 7</t>
  </si>
  <si>
    <t>EJE A / EJE 7 - EJE 9</t>
  </si>
  <si>
    <t>EJE A / EJE 9 - EJE 11</t>
  </si>
  <si>
    <t>EJE A / EJE 11 - EJE 13</t>
  </si>
  <si>
    <t>EJE 13 / EJE A - B</t>
  </si>
  <si>
    <t xml:space="preserve">SEGUNDO  NIVEL </t>
  </si>
  <si>
    <t>CAPA 2</t>
  </si>
  <si>
    <t xml:space="preserve">TERCER NIVEL </t>
  </si>
  <si>
    <t>EJE 2 - EJE 6 / EJE B</t>
  </si>
  <si>
    <t>EJE 6 - EJE 14 / EJE B - EJE D</t>
  </si>
  <si>
    <t xml:space="preserve">EJE 2 - EJE 6 / EJE F  </t>
  </si>
  <si>
    <t>EJE 6 - EJE 14 / EJE D - EJE F</t>
  </si>
  <si>
    <t xml:space="preserve">CAPA 3 </t>
  </si>
  <si>
    <t>CUARTO NIVEL</t>
  </si>
  <si>
    <t>TECHO</t>
  </si>
  <si>
    <t xml:space="preserve">EJE 2 / EJE B - EJE F </t>
  </si>
  <si>
    <t xml:space="preserve">EJE B / EJE 2 - EJE 2' </t>
  </si>
  <si>
    <t>EJE B / EJE 2' - EJE 14</t>
  </si>
  <si>
    <t xml:space="preserve">EJE F / EJE 2 - EJE 2' </t>
  </si>
  <si>
    <t>EJE F / EJE 2' - EJE 14</t>
  </si>
  <si>
    <t>MURO DE C* A*</t>
  </si>
  <si>
    <t>INTERIOR</t>
  </si>
  <si>
    <t xml:space="preserve">PRIMER NIVEL  </t>
  </si>
  <si>
    <t xml:space="preserve">EJE 2 / EJE B </t>
  </si>
  <si>
    <t>EJE 2 / EJE C</t>
  </si>
  <si>
    <t>EJE 2 / EJE D</t>
  </si>
  <si>
    <t xml:space="preserve">EJE 2 / EJE E </t>
  </si>
  <si>
    <t xml:space="preserve">EJE 2 / EJE F </t>
  </si>
  <si>
    <t xml:space="preserve">EJE B / EJE 2' - EJE 14 </t>
  </si>
  <si>
    <t>EJE F / ESE 2' - EJE 13</t>
  </si>
  <si>
    <t>SEGUNDO NIVEL</t>
  </si>
  <si>
    <t xml:space="preserve">CUARTO NIVEL </t>
  </si>
  <si>
    <t xml:space="preserve">CAPA 4  </t>
  </si>
  <si>
    <t xml:space="preserve">TECHO </t>
  </si>
  <si>
    <t>EJE B / EJE 3</t>
  </si>
  <si>
    <t>EJE B / EJE 4</t>
  </si>
  <si>
    <t>EJE B / EJE 5</t>
  </si>
  <si>
    <t>EJE B / EJE 6</t>
  </si>
  <si>
    <t>EJE B / EJE 7</t>
  </si>
  <si>
    <t>EJE B / EJE 8</t>
  </si>
  <si>
    <t>EJE B / EJE 9</t>
  </si>
  <si>
    <t>EJE B / EJE 10</t>
  </si>
  <si>
    <t>EJE B / EJE 11</t>
  </si>
  <si>
    <t>EJE B / EJE 12</t>
  </si>
  <si>
    <t>EJE B / EJE 13</t>
  </si>
  <si>
    <t>EJE B / EJE 14</t>
  </si>
  <si>
    <t>EXTERIOR</t>
  </si>
  <si>
    <t xml:space="preserve">CAPA 4 </t>
  </si>
  <si>
    <t>PERIMETRO INTERIOR</t>
  </si>
  <si>
    <t>V - 2</t>
  </si>
  <si>
    <t>V - 1</t>
  </si>
  <si>
    <t>PINTURA</t>
  </si>
  <si>
    <t>EJE A - B / EJE 1 - EJE 2</t>
  </si>
  <si>
    <t>EJE A - B / EJE 2 - EJE 3</t>
  </si>
  <si>
    <t>EJE B / EJE 3 - EJE 10</t>
  </si>
  <si>
    <t>EJE F / EJE 2 - EJE 10</t>
  </si>
  <si>
    <t>EJE A / EJE 1 - EJE 2</t>
  </si>
  <si>
    <t>EJE B / EJE 1 - EJE 2</t>
  </si>
  <si>
    <t>EJE D / EJE 1 - EJE 2</t>
  </si>
  <si>
    <t>EJE E / EJE 1 - EJE 2</t>
  </si>
  <si>
    <t>EJE 1 / EJE A - F</t>
  </si>
  <si>
    <t>EJE B / EJE 2 - EJE 3</t>
  </si>
  <si>
    <t>EJE B / EJE 2 - EJE 14</t>
  </si>
  <si>
    <t>EJE F / EJE 2 - EJE 14</t>
  </si>
  <si>
    <t>CAPA 4</t>
  </si>
  <si>
    <t>EJE F / EJE 2 - EJE 3</t>
  </si>
  <si>
    <t>CAPA 5</t>
  </si>
  <si>
    <t>PRIMER NIVEL @ CAPA 2</t>
  </si>
  <si>
    <t>TERCER NIVEL</t>
  </si>
  <si>
    <t>CAPA 3</t>
  </si>
  <si>
    <t>EJE 1 / EJE F - EJE H</t>
  </si>
  <si>
    <t xml:space="preserve">PRIMER A SEGUNDO NIVEL </t>
  </si>
  <si>
    <t>EJE 1 / EJE F - F</t>
  </si>
  <si>
    <t>EJE F / EJE 3</t>
  </si>
  <si>
    <t>EJE F / EJE 4</t>
  </si>
  <si>
    <t>EJE F / EJE 5</t>
  </si>
  <si>
    <t>EJE F / EJE 6</t>
  </si>
  <si>
    <t>EJE F / EJE 7</t>
  </si>
  <si>
    <t>EJE F / EJE 8</t>
  </si>
  <si>
    <t>EJE F / EJE 9</t>
  </si>
  <si>
    <t>EJE F / EJE 10</t>
  </si>
  <si>
    <t>EJE F / EJE 11</t>
  </si>
  <si>
    <t>EJE F / EJE 12</t>
  </si>
  <si>
    <t>EJE F / EJE 13</t>
  </si>
  <si>
    <t>EMPASTADO DE SUPERF.VIGAS INCL.ARISTAS, MEZCLA 1:4 CEMENTO:ARENA</t>
  </si>
  <si>
    <t>SOTANO</t>
  </si>
  <si>
    <t xml:space="preserve">VENTANAS </t>
  </si>
  <si>
    <t>V - 1 A</t>
  </si>
  <si>
    <t>m</t>
  </si>
  <si>
    <t>PRIMER NIVEL</t>
  </si>
  <si>
    <t xml:space="preserve">V - 2 </t>
  </si>
  <si>
    <t>PUERTAS</t>
  </si>
  <si>
    <t>P - 1</t>
  </si>
  <si>
    <t>P - 2</t>
  </si>
  <si>
    <t>P - 3</t>
  </si>
  <si>
    <t>P - 4</t>
  </si>
  <si>
    <t xml:space="preserve">SEGUNDO NIVEL </t>
  </si>
  <si>
    <t>P - 5</t>
  </si>
  <si>
    <t>V - 3</t>
  </si>
  <si>
    <t>V - 4</t>
  </si>
  <si>
    <t xml:space="preserve">CUARTO NIVEL  </t>
  </si>
  <si>
    <t>V - 6</t>
  </si>
  <si>
    <t>V - 7</t>
  </si>
  <si>
    <t>V - 8</t>
  </si>
  <si>
    <t>V - 9</t>
  </si>
  <si>
    <t>V - 10</t>
  </si>
  <si>
    <t>V - 11</t>
  </si>
  <si>
    <t>V - 12</t>
  </si>
  <si>
    <t>V - 13</t>
  </si>
  <si>
    <t>V - 14</t>
  </si>
  <si>
    <t>V - 15</t>
  </si>
  <si>
    <t>V - 16</t>
  </si>
  <si>
    <t>V - 17</t>
  </si>
  <si>
    <t>V - 18</t>
  </si>
  <si>
    <t>V - 19</t>
  </si>
  <si>
    <t>V - 20</t>
  </si>
  <si>
    <t>V - 21</t>
  </si>
  <si>
    <t>DEBAJO DE MAZANINE</t>
  </si>
  <si>
    <t>AREA=</t>
  </si>
  <si>
    <t>TECHO DE RAMPA</t>
  </si>
  <si>
    <t>TECHO DE CAPILLA</t>
  </si>
  <si>
    <t>EMPASTADO EN CIELORRASOS</t>
  </si>
  <si>
    <t>MURO DE CABEZA LADRILLO KIN-KONG DE ARCILLA</t>
  </si>
  <si>
    <t>EJE 2 - 2 / C1 - C3</t>
  </si>
  <si>
    <t>EJE 2 - 2 / C3 - C5</t>
  </si>
  <si>
    <t>EJE 2 - 2 / C5 - C7</t>
  </si>
  <si>
    <t>EJE 2 - 2 / C7 - C9</t>
  </si>
  <si>
    <t>EJE 2 - 2 / C9 - C11</t>
  </si>
  <si>
    <t>EJE 2 - 2 / C11 - C13</t>
  </si>
  <si>
    <t>EJE C1 - C1 / 1 - 2</t>
  </si>
  <si>
    <t>EJE C7 - C7 / 1 - 2</t>
  </si>
  <si>
    <t>EJE C13 - C13 / 1 - 2</t>
  </si>
  <si>
    <t>EJE C5 - C5 / 1 - 2</t>
  </si>
  <si>
    <t>EJE C11 - C11 / 1 - 2</t>
  </si>
  <si>
    <t>EJE 1 - 1 / C1 - C13 (SOBRE VIGA TIMPANO)</t>
  </si>
  <si>
    <t>EJE 2 - 2 / C1 - C13 (SOBRE VIGA TIMPANO)</t>
  </si>
  <si>
    <t>MURO DE SOGA LADRILLO KIN-KONG DE ARCILLA</t>
  </si>
  <si>
    <t>MURO PARALELO AL EJE C7 - C7 / 1 - 2</t>
  </si>
  <si>
    <t>MURO PARALELO AL EJE 2 - 2 / C5 - C7</t>
  </si>
  <si>
    <t>EJE 2 - 2 / C7 - C8</t>
  </si>
  <si>
    <t>EJE 2 - 2 / C8 - C9</t>
  </si>
  <si>
    <t>MURO PARALELO AL EJE C6 - C6 / 1 - 2</t>
  </si>
  <si>
    <t>MURO PARALELO AL EJE C8 - C8 / 1 - 2</t>
  </si>
  <si>
    <t>MURO PARALELO AL EJE 2 - 2/ C5 - C7</t>
  </si>
  <si>
    <t>MURO PARALELO AL EJE 2 - 2/ C7 - C8</t>
  </si>
  <si>
    <t>EN MURO DE C°A°</t>
  </si>
  <si>
    <t>EJE 1 - 1 / C1 - C13</t>
  </si>
  <si>
    <t>EJE 1 - 1 / C1 - C13 (SOBRE VENTANAS)</t>
  </si>
  <si>
    <t>DESCONTANDO TARRAJEO PRIMARIO Y RAYADO</t>
  </si>
  <si>
    <t>LABORATORIO MULTIFUNCIONAL</t>
  </si>
  <si>
    <t>DUCHA DE EMERGENCIA</t>
  </si>
  <si>
    <t>MESAS DE TRABAJO</t>
  </si>
  <si>
    <t>TALLER DE ARTE</t>
  </si>
  <si>
    <t>MESA DE TRABAJO</t>
  </si>
  <si>
    <t>ENFERMERIA</t>
  </si>
  <si>
    <t>LAVAMANOS</t>
  </si>
  <si>
    <t>SS.HH.</t>
  </si>
  <si>
    <t>S.H.</t>
  </si>
  <si>
    <t>S.H. DISC.</t>
  </si>
  <si>
    <t>EJE 3 - 3 / C1 - C13 (SOBRE VIGA TIMPANO)</t>
  </si>
  <si>
    <t>PERIMET.</t>
  </si>
  <si>
    <t>COLUMNAS EN EJE 1 / C1 INTERIOR</t>
  </si>
  <si>
    <t>COLUMNAS EN EJE 1 / C3 INTERIOR</t>
  </si>
  <si>
    <t>COLUMNAS EN EJE 1 / C5 INTERIOR</t>
  </si>
  <si>
    <t>COLUMNAS EN EJE 1 / C7 INTERIOR</t>
  </si>
  <si>
    <t>COLUMNAS EN EJE 1 / C9 INTERIOR</t>
  </si>
  <si>
    <t>COLUMNAS EN EJE 1 / C11 INTERIOR</t>
  </si>
  <si>
    <t>COLUMNAS EN EJE 1 / C13 INTERIOR</t>
  </si>
  <si>
    <t>COLUMNAS EN EJE 2 / C1 INTERIOR</t>
  </si>
  <si>
    <t>COLUMNAS EN EJE 2 / C1 EXTERIOR</t>
  </si>
  <si>
    <t>COLUMNAS EN EJE 2 / C3 INTERIOR</t>
  </si>
  <si>
    <t>COLUMNAS EN EJE 2 / C3 EXTERIOR</t>
  </si>
  <si>
    <t>COLUMNAS EN EJE 2 / C5 INTERIOR</t>
  </si>
  <si>
    <t>COLUMNAS EN EJE 2 / C5 EXTERIOR</t>
  </si>
  <si>
    <t>COLUMNAS EN EJE 2 / C7 INTERIOR</t>
  </si>
  <si>
    <t>COLUMNAS EN EJE 2 / C7 EXTERIOR</t>
  </si>
  <si>
    <t>COLUMNAS EN EJE 2 / C9 INTERIOR</t>
  </si>
  <si>
    <t>COLUMNAS EN EJE 2 / C9 EXTERIOR</t>
  </si>
  <si>
    <t>COLUMNAS EN EJE 2 / C11 INTERIOR</t>
  </si>
  <si>
    <t>COLUMNAS EN EJE 2 / C11 EXTERIOR</t>
  </si>
  <si>
    <t>COLUMNAS EN EJE 2 / C13 INTERIOR</t>
  </si>
  <si>
    <t>COLUMNAS EN EJE 2 / C13 EXTERIOR</t>
  </si>
  <si>
    <t>COLUMNAS EN EJE 3 / C1 - C13 INTERIOR</t>
  </si>
  <si>
    <t>EJE 1 - 1 / C1 - C13  V- 101 (35x30)</t>
  </si>
  <si>
    <t>EJE 2 - 2 / C1 - C13  V- 101 (35x30)</t>
  </si>
  <si>
    <t>EJE 3 - 3 / C1 - C13  V- 102 (35x30)</t>
  </si>
  <si>
    <t>EJE C1 - C1 / 1 - 2  V- 103 (25x40)</t>
  </si>
  <si>
    <t>EJE C1 - C1 / 2 - 3  V- 103 (25x30)</t>
  </si>
  <si>
    <t>EJE C3 - C3 / 1 - 2  V- 104 (80x30)</t>
  </si>
  <si>
    <t>EJE C3 - C3 / 2 - 3  V- 104 (25x30)</t>
  </si>
  <si>
    <t>EJE C5 - C5 / 1 - 2  V- 105 (35x45)</t>
  </si>
  <si>
    <t>EJE C5 - C5 / 2 - 3  V- 105 (25x30)</t>
  </si>
  <si>
    <t>EJE C7 - C7 / 1 - 2  V- 106 (25X40)</t>
  </si>
  <si>
    <t>EJE C7 - C7 / 2 - 3  V- 106 (25x30)</t>
  </si>
  <si>
    <t>EJE C9 - C9 / 1 - 2  V- 104 (80x30)</t>
  </si>
  <si>
    <t>EJE C9 - C9 / 2 - 3  V- 104 (25x30)</t>
  </si>
  <si>
    <t>EJE C11 - C11 / 1 - 2  V- 105 (35x45)</t>
  </si>
  <si>
    <t>EJE C11 - C11 / 2 - 3  V- 105 (25x30)</t>
  </si>
  <si>
    <t>EJE C13 - C13 / 1 - 2  V- 103 (25x40)</t>
  </si>
  <si>
    <t>EJE C13 - C13 / 2 - 3  V- 103 (25x30)</t>
  </si>
  <si>
    <t>VIGA EN VOLADIZO (15X30)</t>
  </si>
  <si>
    <t>VIGA EN VOLADIZO (10X30)</t>
  </si>
  <si>
    <t xml:space="preserve">EJE 1' - 1' / C1 -  C13  V- 401 (35x35) </t>
  </si>
  <si>
    <t>EJE C1 - C1 / 1' - 1  V- 303 (25x35)</t>
  </si>
  <si>
    <t>EJE C1 - C1 / 1 - 2  V- 303 (25x40)</t>
  </si>
  <si>
    <t>EJE C1 - C1 / 2 - 3  V- 303 (25x30)</t>
  </si>
  <si>
    <t>EJE C3 - C3 / 1' - 1  V- 304 (25x35)</t>
  </si>
  <si>
    <t>EJE C3 - C3 / 1 - 2  V- 304 (30x35)</t>
  </si>
  <si>
    <t>EJE C3 - C3 / 2 - 3  V- 304 (25x30)</t>
  </si>
  <si>
    <t>EJE C5 - C5 / 1' - 1  V- 305 (25x35)</t>
  </si>
  <si>
    <t>EJE C5 - C5 / 1 - 2  V- 305 (35x45)</t>
  </si>
  <si>
    <t>EJE C5 - C5 / 2 - 3  V- 305 (25x30)</t>
  </si>
  <si>
    <t>EJE C7 - C7 / 1' - 1  V- 306 (25x35)</t>
  </si>
  <si>
    <t>EJE C7 - C7 / 1 - 2  V- 306 (25x40)</t>
  </si>
  <si>
    <t>EJE C7 - C7 / 2 - 3  V- 306 (25x30)</t>
  </si>
  <si>
    <t>EJE C9 - C9 / 1' - 1  V- 304 (25x35)</t>
  </si>
  <si>
    <t>EJE C9 - C9 / 1 - 2  V- 304 (30x35)</t>
  </si>
  <si>
    <t>EJE C9 - C9 / 2 - 3  V- 304 (25x30)</t>
  </si>
  <si>
    <t>EJE C11 - C11 / 1' - 1  V- 304 (25x35)</t>
  </si>
  <si>
    <t>EJE C11 - C11 / 1 - 2  V- 304 (30x35)</t>
  </si>
  <si>
    <t>EJE C11 - C11 / 2 - 3  V- 304 (25x30)</t>
  </si>
  <si>
    <t>EJE C13 - C13 / 1' - 1  V- 303 (25x35)</t>
  </si>
  <si>
    <t>EJE C13 - C13 / 1 - 2  V- 303 (25x40)</t>
  </si>
  <si>
    <t>EJE C13 - C13 / 2 - 3  V- 303 (25x30)</t>
  </si>
  <si>
    <t>EJE 1 - 1 / C1 -  C13  V- 401 (35x35)</t>
  </si>
  <si>
    <t xml:space="preserve">EJE 2 - 2 / C1 - C13  V- 401 (35x35) </t>
  </si>
  <si>
    <t xml:space="preserve">EJE 3 - 3 / C1 - C13  V- 402 (35x35) </t>
  </si>
  <si>
    <t xml:space="preserve">                                     </t>
  </si>
  <si>
    <t>VENTANAS</t>
  </si>
  <si>
    <t>V - 5</t>
  </si>
  <si>
    <t>V - 26</t>
  </si>
  <si>
    <t>V - 43</t>
  </si>
  <si>
    <t>P - 13</t>
  </si>
  <si>
    <t>V - 50</t>
  </si>
  <si>
    <t>V - 51</t>
  </si>
  <si>
    <t>V - 52</t>
  </si>
  <si>
    <t>V - 53</t>
  </si>
  <si>
    <t>V - 54</t>
  </si>
  <si>
    <t>P - 39</t>
  </si>
  <si>
    <t>P - 45</t>
  </si>
  <si>
    <t>PASILLO</t>
  </si>
  <si>
    <t>AULA DE INNOVACION PEDAGOGICA 1</t>
  </si>
  <si>
    <t>MODULO DE CONECTIVIDAD</t>
  </si>
  <si>
    <t>AULA DE INNOVACION PEDAGOGICA 2</t>
  </si>
  <si>
    <t>ENFERMERIA - PSICOLOGIA</t>
  </si>
  <si>
    <t>ADMINISTRACION</t>
  </si>
  <si>
    <t>VOLADO</t>
  </si>
  <si>
    <t>BLOQUE  -  09</t>
  </si>
  <si>
    <t>BLOQUE  -  10</t>
  </si>
  <si>
    <t>MUROS DE CONTENCION</t>
  </si>
  <si>
    <t>EJE A4 - 6 / F</t>
  </si>
  <si>
    <t>EJE A4 - A5 / F</t>
  </si>
  <si>
    <t>EJE A4 - 6 / G</t>
  </si>
  <si>
    <t>EJE A4 - A5 / G</t>
  </si>
  <si>
    <t>EN MURO DE LADRILLO KK TIPO IV CABEZA, M: 1:1:4, E=1.5cm</t>
  </si>
  <si>
    <t>EJE A4 - EJE A5 / F</t>
  </si>
  <si>
    <t>EJE A3 - EJE A4 / F</t>
  </si>
  <si>
    <t>EJE A2 - EJE A3 / F</t>
  </si>
  <si>
    <t>EJE 1 - EJE A2 / F</t>
  </si>
  <si>
    <t>EJE 2 - EJE 1 / F</t>
  </si>
  <si>
    <t>EJE 3 - EJE 2 / F</t>
  </si>
  <si>
    <t>EJE 4 - EJE 3 / F</t>
  </si>
  <si>
    <t>EJE 5 - EJE 4 / F</t>
  </si>
  <si>
    <t>EJE 6 - EJE 5 / F</t>
  </si>
  <si>
    <t>EJE F - EJE G / 6</t>
  </si>
  <si>
    <t>EJE A5 - A6 / G</t>
  </si>
  <si>
    <t>EJE G - F / A6</t>
  </si>
  <si>
    <t>EN MURO DE LADRILLO KK TIPO IV SOGA, M: 1:1:4, E=1.5cm</t>
  </si>
  <si>
    <t>DEPOSITO</t>
  </si>
  <si>
    <t>EJE A5 - A6 / F</t>
  </si>
  <si>
    <t>DUCHAS Y VESTUARIOS</t>
  </si>
  <si>
    <t>EJE A5 - A4 / B</t>
  </si>
  <si>
    <t>EJE A4 - A3 / B</t>
  </si>
  <si>
    <t>EJE A3 - A2 / B</t>
  </si>
  <si>
    <t>EJE A5 - A4 / F</t>
  </si>
  <si>
    <t>EJE A4 - A3 / F</t>
  </si>
  <si>
    <t>EJE A3 - A2 / F</t>
  </si>
  <si>
    <t>EJE A2- 10 / F</t>
  </si>
  <si>
    <t>EJE 10 - 9 / F</t>
  </si>
  <si>
    <t>EJE 9 - 8 / F</t>
  </si>
  <si>
    <t>EJE 8 - 7 / F</t>
  </si>
  <si>
    <t>EJE 7 - 6 / F</t>
  </si>
  <si>
    <t>EJE 6 - 5 / F</t>
  </si>
  <si>
    <t>EJE 5 - 4 / F</t>
  </si>
  <si>
    <t>EJE 4 - 3 / F</t>
  </si>
  <si>
    <t>EJE 3 - 2 / F</t>
  </si>
  <si>
    <t>EJE 2 - 1 / F</t>
  </si>
  <si>
    <t>EJE 1 - A2 / F</t>
  </si>
  <si>
    <t>EJE B - F</t>
  </si>
  <si>
    <t>EJE E - F / A6</t>
  </si>
  <si>
    <t>EJE F - E / A5</t>
  </si>
  <si>
    <t>EJE E - D / A5</t>
  </si>
  <si>
    <t>EJE D - C / A5</t>
  </si>
  <si>
    <t>EJE C - B / A5</t>
  </si>
  <si>
    <t>PRIMER NIVEL @ SEGUNDO NIVEL</t>
  </si>
  <si>
    <t>RAMPA</t>
  </si>
  <si>
    <t>EJE A2 - 10 / B</t>
  </si>
  <si>
    <t>EJE 10 - 9 / B</t>
  </si>
  <si>
    <t>EJE 9 - 8 / B</t>
  </si>
  <si>
    <t>EJE 8 - 7 / B</t>
  </si>
  <si>
    <t>EJE 7 - 6 / B</t>
  </si>
  <si>
    <t>EJE 6 - 5 / B</t>
  </si>
  <si>
    <t>EJE 5 - 4 / B</t>
  </si>
  <si>
    <t>EJE 4 - 3 / B</t>
  </si>
  <si>
    <t>EJE 3 - 2 / B</t>
  </si>
  <si>
    <t>EJE 2 - 1 / B</t>
  </si>
  <si>
    <t>EJE 1 - A2 / B</t>
  </si>
  <si>
    <t>EJE A2 - A3 / B</t>
  </si>
  <si>
    <t>EJE A3 - A4 / B</t>
  </si>
  <si>
    <t>EJE A4 - A5 / B</t>
  </si>
  <si>
    <t>EJE 6 - A6 / G</t>
  </si>
  <si>
    <t>EJE E - G / A6</t>
  </si>
  <si>
    <t>COLUMNAS EN EJE A5 - F - INTERIOR</t>
  </si>
  <si>
    <t>COLUMNAS EN EJE A4 - F - INTERIOR</t>
  </si>
  <si>
    <t>COLUMNAS EN EJE A3 - F - INTERIOR</t>
  </si>
  <si>
    <t>COLUMNAS EN EJE A2 - F - INTERIOR</t>
  </si>
  <si>
    <t>COLUMNAS EN EJE 1 - F - INTERIOR</t>
  </si>
  <si>
    <t>COLUMNAS EN EJE 2 - F - INTERIOR</t>
  </si>
  <si>
    <t>COLUMNAS EN EJE 3 - F - INTERIOR</t>
  </si>
  <si>
    <t>COLUMNAS EN EJE 4 - F - INTERIOR</t>
  </si>
  <si>
    <t>COLUMNAS EN EJE 5 - F - INTERIOR</t>
  </si>
  <si>
    <t>COLUMNAS EN EJE A5 - B - INTERIOR</t>
  </si>
  <si>
    <t>COLUMNAS EN EJE A4 - B - INTERIOR</t>
  </si>
  <si>
    <t>COLUMNAS EN EJE A3 - B - INTERIOR</t>
  </si>
  <si>
    <t>COLUMNAS EN EJE A2 - B - INTERIOR</t>
  </si>
  <si>
    <t>COLUMNAS EN EJE 7 - B - INTERIOR</t>
  </si>
  <si>
    <t>COLUMNAS EN EJE A5 - E - INTERIOR</t>
  </si>
  <si>
    <t>COLUMNAS EN EJE A5 - D - INTERIOR</t>
  </si>
  <si>
    <t>COLUMNAS EN EJE A5 - C - INTERIOR</t>
  </si>
  <si>
    <t>PASILLLO</t>
  </si>
  <si>
    <t>COLUMNAS EN EJE A5 - B - EXTERIOR</t>
  </si>
  <si>
    <t>COLUMNAS EN EJE A5 - C - EXTERIOR</t>
  </si>
  <si>
    <t>COLUMNAS EN EJE A5 - E - EXTERIOR</t>
  </si>
  <si>
    <t>COLUMNAS EN EJE A5 - F - EXTERIOR</t>
  </si>
  <si>
    <t>COLUMNAS EN EJE A5 - D - EXTERIOR</t>
  </si>
  <si>
    <t>COLUMNAS EN EJE A4 - F - EXTERIOR</t>
  </si>
  <si>
    <t>COLUMNAS EN EJE A3 - F - EXTERIOR</t>
  </si>
  <si>
    <t>COLUMNAS EN EJE A2 - F - EXTERIOR</t>
  </si>
  <si>
    <t>COLUMNAS EN EJE 1 - F - EXTERIOR</t>
  </si>
  <si>
    <t>COLUMNAS EN EJE 2 - F - EXTERIOR</t>
  </si>
  <si>
    <t>COLUMNAS EN EJE 3 - F - EXTERIOR</t>
  </si>
  <si>
    <t>COLUMNAS EN EJE 4 - B - EXTERIOR</t>
  </si>
  <si>
    <t>COLUMNAS EN EJE 5 - B - EXTERIOR</t>
  </si>
  <si>
    <t>COLUMNAS EN EJE 6 - B - EXTERIOR</t>
  </si>
  <si>
    <t>COLUMNAS EN EJE 7 - B - EXTERIOR</t>
  </si>
  <si>
    <t>COLUMNAS EN EJE 8 - B - EXTERIOR</t>
  </si>
  <si>
    <t>COLUMNAS EN EJE 9 - B - EXTERIOR</t>
  </si>
  <si>
    <t>COLUMNAS EN EJE 10 - B - EXTERIOR</t>
  </si>
  <si>
    <t>COLUMNAS EN EJE A2 - B - EXTERIOR</t>
  </si>
  <si>
    <t>COLUMNAS EN EJE A3 - B - EXTERIOR</t>
  </si>
  <si>
    <t>COLUMNAS EN EJE A4 - B - EXTERIOR</t>
  </si>
  <si>
    <t>COLUMNAS 0.40x0.60</t>
  </si>
  <si>
    <t>COLUMNAS 0.35x0.60</t>
  </si>
  <si>
    <t>COLUMNAS 0.15x0.35</t>
  </si>
  <si>
    <t>2lados</t>
  </si>
  <si>
    <t>EJE A5 - A2 / EJE B  V - 102 (.40x.50)</t>
  </si>
  <si>
    <t>EJE A2 - 7 / EJE B  V - 102 (.40x.50)</t>
  </si>
  <si>
    <t>EJE 7 - 4 / EJE B  V - 102 (.40x.50)</t>
  </si>
  <si>
    <t>EJE 4 - A2 / EJE F  V - 102 (.40x.50)</t>
  </si>
  <si>
    <t>EJE A2 - A5 / EJE F  V - 102 (.40x.50)</t>
  </si>
  <si>
    <t>EJE A1 - A5 / EJE E  V - 101 (.40x.65)</t>
  </si>
  <si>
    <t>EJE A1 - A5 / EJE C  V - 101 (.40x.65)</t>
  </si>
  <si>
    <t>EJE B - C / EJE A2  V - 103 (.35x.50)</t>
  </si>
  <si>
    <t>EJE C - E / EJE A2  V - 103 (.35x.50)</t>
  </si>
  <si>
    <t>EJE E - F / EJE A2  V - 103 (.35x.50)</t>
  </si>
  <si>
    <t>VIGA PERIMETRAL INTERIOR</t>
  </si>
  <si>
    <t>COLUMNAS CIRCULARES</t>
  </si>
  <si>
    <t>VIGA LOSA DE RAMPA TERCER NIVEL</t>
  </si>
  <si>
    <t>EJE A - B / A4</t>
  </si>
  <si>
    <t>SEGUNDO NIVEL @ TERCER NIVEL</t>
  </si>
  <si>
    <t>VIGA INTERIOR LOSA DE RAMPA SEGUNDO @ TERCER NIVEL</t>
  </si>
  <si>
    <t>EJE F - E / A6</t>
  </si>
  <si>
    <t>EJE E - D / A6</t>
  </si>
  <si>
    <t>EJE D - C / A6</t>
  </si>
  <si>
    <t>EJE C - B / A6</t>
  </si>
  <si>
    <t>EJE A5 - A5 / B</t>
  </si>
  <si>
    <t>VIGA DE TECHO</t>
  </si>
  <si>
    <t>VIGA PERIMETRO INTERIOR</t>
  </si>
  <si>
    <t>EJE B - C / EJE A5  V - 102 (.40x.50)</t>
  </si>
  <si>
    <t>EJE C - D / EJE A5  V - 102 (.40x.50)</t>
  </si>
  <si>
    <t>EJE D - E / EJE A5  V - 102 (.40x.50)</t>
  </si>
  <si>
    <t>EJE E - F / EJE A5  V - 102 (.40x.50)</t>
  </si>
  <si>
    <t>EMPASTADO EN VESTIDURA DE DERRAMES</t>
  </si>
  <si>
    <t xml:space="preserve">V - 1 </t>
  </si>
  <si>
    <t>P -1</t>
  </si>
  <si>
    <t>P - 4A</t>
  </si>
  <si>
    <t>EN PISO</t>
  </si>
  <si>
    <t>SOBRE MESA</t>
  </si>
  <si>
    <t>DEBAJO DE MESA</t>
  </si>
  <si>
    <t>CAMERINOS</t>
  </si>
  <si>
    <t>EJE A1 - A2 / EJE E - F  PAÑOS INTERNOS 1</t>
  </si>
  <si>
    <t>EJE A2 - A5 / EJE E - F  PAÑOS INTERNOS 2</t>
  </si>
  <si>
    <t>EJE A1 - A2 / EJE E - F  PAÑOS INTERNOS 3</t>
  </si>
  <si>
    <t>EJE A2 - A5 / EJE E - F  PAÑOS INTERNOS 4</t>
  </si>
  <si>
    <t>EJE A1 - A2 / EJE E - F  PAÑOS INTERNOS 5</t>
  </si>
  <si>
    <t>EJE A2 - A5 / EJE E - F  PAÑOS INTERNOS 6</t>
  </si>
  <si>
    <t>AREA DE EXPOSICIONES</t>
  </si>
  <si>
    <t>COLUMNAS RECTANGULARES</t>
  </si>
  <si>
    <t>BLOQUE  -  08</t>
  </si>
  <si>
    <t>EJE B3 - B3 / 28 - 30</t>
  </si>
  <si>
    <t>EJE B3 - B3 / 30 - 32</t>
  </si>
  <si>
    <t>EJE B3 - B3 / 32 - 34</t>
  </si>
  <si>
    <t>EJE B3 - B3 / 34 - 36</t>
  </si>
  <si>
    <t>EJE 28 - 28 / B0 - B3</t>
  </si>
  <si>
    <t>EJE 32 - 32 / B0 - B3</t>
  </si>
  <si>
    <t>EJE 36 - 36 / B0 - B3</t>
  </si>
  <si>
    <t>EN MURO DE SOGA LADRILLO KIN-KONG DE ARCILLA</t>
  </si>
  <si>
    <t>EJE B0 - B0 CASILLEROS</t>
  </si>
  <si>
    <t>MURO DE CONCRETO</t>
  </si>
  <si>
    <t>EJE B0 - B0</t>
  </si>
  <si>
    <t>EJE B3 - B3 (CASILLEROS)</t>
  </si>
  <si>
    <t>EJE B0 - B0 (SOBRE VENTANAS)</t>
  </si>
  <si>
    <t>EN VIGA TIMPANO EJE B0 - B0 / 28 - 36</t>
  </si>
  <si>
    <t>EN VIGA TIMPANO EJE B3 - B3 / 28 - 36</t>
  </si>
  <si>
    <t>COLUMNAS EN EJE B0 - 28 - INTERIOR (L)</t>
  </si>
  <si>
    <t>COLUMNAS EN EJE B0 - 30 - INTERIOR</t>
  </si>
  <si>
    <t>COLUMNAS EN EJE B0 - 32 - INTERIOR (T)</t>
  </si>
  <si>
    <t>COLUMNAS EN EJE B0 - 34 - INTERIOR</t>
  </si>
  <si>
    <t>COLUMNAS EN EJE B3 - 28 - INTERIOR (L)</t>
  </si>
  <si>
    <t>COLUMNAS EN EJE B3 - 30 - EXTERIOR</t>
  </si>
  <si>
    <t>COLUMNAS EN EJE B3 - 30 - INTERIOR</t>
  </si>
  <si>
    <t>COLUMNAS EN EJE B3 - 32 - EXTERIOR (T)</t>
  </si>
  <si>
    <t>COLUMNAS EN EJE B3 - 32 - INTERIOR (T)</t>
  </si>
  <si>
    <t>COLUMNAS EN EJE B3 - 34 - EXTERIOR</t>
  </si>
  <si>
    <t>COLUMNAS EN EJE B3 - 34 - INTERIOR</t>
  </si>
  <si>
    <t>COLUMNAS EN EJE B3 - 36 - INTERIOR (L)</t>
  </si>
  <si>
    <t>COLUMNAS EN EJE B4 - 28</t>
  </si>
  <si>
    <t>PER-=</t>
  </si>
  <si>
    <t>COLUMNAS EN EJE B4 - 29</t>
  </si>
  <si>
    <t>COLUMNAS EN EJE B4 - 30</t>
  </si>
  <si>
    <t>COLUMNAS EN EJE B4 - 31</t>
  </si>
  <si>
    <t>COLUMNAS EN EJE B4 - 32</t>
  </si>
  <si>
    <t>COLUMNAS EN EJE B4 - 33</t>
  </si>
  <si>
    <t>COLUMNAS EN EJE B4 - 34</t>
  </si>
  <si>
    <t>COLUMNAS EN EJE B4 - 35</t>
  </si>
  <si>
    <t>COLUMNAS EN EJE B4 - 36</t>
  </si>
  <si>
    <t>EJE B0 - B0 / 28 - 30</t>
  </si>
  <si>
    <t>EJE B0 - B0 / 30 - 32</t>
  </si>
  <si>
    <t>EJE B0 - B0 / 32 - 34</t>
  </si>
  <si>
    <t>EJE B0 - B0 / 34 - 36</t>
  </si>
  <si>
    <t>EJE B4 - B4 / 28 - 30</t>
  </si>
  <si>
    <t>EJE B4 - B4 / 30 - 32</t>
  </si>
  <si>
    <t>EJE B4 - B4 / 32 - 34</t>
  </si>
  <si>
    <t>EJE B4 - B4 / 34 - 36</t>
  </si>
  <si>
    <t>EJE 28 - 28 / B3 - B4</t>
  </si>
  <si>
    <t>EJE 30 - 30 / B0 - B3</t>
  </si>
  <si>
    <t>EJE 30 - 30 / B3 - B4</t>
  </si>
  <si>
    <t>EJE 32 - 32 / B3 - B4</t>
  </si>
  <si>
    <t>EJE 34 - 34 / B0 - B3</t>
  </si>
  <si>
    <t>EJE 34 - 34 / B3 - B4</t>
  </si>
  <si>
    <t>EJE 36 - 36 / B3 - B4</t>
  </si>
  <si>
    <t>TECHOS (VIGAS TIMPANO)</t>
  </si>
  <si>
    <t>EJE B0 - B0 / 28 - 29</t>
  </si>
  <si>
    <t>EJE B0 - B0 / 29 - 30</t>
  </si>
  <si>
    <t>EJE B0 - B0 / 30 - 31</t>
  </si>
  <si>
    <t>EJE B0 - B0 / 31- 32</t>
  </si>
  <si>
    <t>EJE B0 - B0 / 32- 33</t>
  </si>
  <si>
    <t>EJE B0 - B0 / 33- 34</t>
  </si>
  <si>
    <t>EJE B0 - B0 / 34 - 35</t>
  </si>
  <si>
    <t>EJE B0 - B0 / 35 - 36</t>
  </si>
  <si>
    <t>EJE B3 - B3 / 28 - 29</t>
  </si>
  <si>
    <t>EJE B3 - B3 / 29- 30</t>
  </si>
  <si>
    <t>EJE B3 - B3 / 30 - 31</t>
  </si>
  <si>
    <t>EJE B3 - B3 / 31- 32</t>
  </si>
  <si>
    <t>EJE B3 - B3 / 32- 33</t>
  </si>
  <si>
    <t>EJE B3 - B3 / 34- 34</t>
  </si>
  <si>
    <t>EJE B3 - B3 / 34 - 35</t>
  </si>
  <si>
    <t>EJE B3 - B3 / 35 - 36</t>
  </si>
  <si>
    <t>EJE B4 - B4 / 28 - 28'</t>
  </si>
  <si>
    <t>EJE B4 - B4 / 28' - 30</t>
  </si>
  <si>
    <t>EJE B4 - B4 / 30 - 30'</t>
  </si>
  <si>
    <t>EJE B4 - B4 / 30'- 32</t>
  </si>
  <si>
    <t>EJE B4 - B4 / 32'- 32'</t>
  </si>
  <si>
    <t>EJE B4 - B4 / 32'- 34</t>
  </si>
  <si>
    <t>EJE B4 - B4 / 34 - 34'</t>
  </si>
  <si>
    <t>EJE B4 - B4 / 34' - 36</t>
  </si>
  <si>
    <t>VESTIDURA DE DERRAMES E=0.15M</t>
  </si>
  <si>
    <t>VESTIDURA DE DERRAMES E=0.25M</t>
  </si>
  <si>
    <t>AULAS</t>
  </si>
  <si>
    <t>CLOSET</t>
  </si>
  <si>
    <t>CIRCULACION</t>
  </si>
  <si>
    <t>EMPASTADO DE SUPERF.VIGAS INCL.ARISTAS</t>
  </si>
  <si>
    <t>EMPASTADO DE SUPERFICIE COLUMNAS INCL. ARISTAS</t>
  </si>
  <si>
    <t>EMPASTADO EN MUROS EXTERIORES</t>
  </si>
  <si>
    <t>EMPASTADO EN MUROS INTERIORES</t>
  </si>
  <si>
    <t>BLOQUE  -  07</t>
  </si>
  <si>
    <t>EJE 19 - 19 / F6 - F4</t>
  </si>
  <si>
    <t>EJE 19 - 19 / F4 - F3</t>
  </si>
  <si>
    <t>EJE 17 - 17 / F6 - F4</t>
  </si>
  <si>
    <t>EJE 17 - 17 / F4 - F3</t>
  </si>
  <si>
    <t>EJE F4 - F4 / 19 - 17</t>
  </si>
  <si>
    <t>MURO PARALELO AL EJE 18 - 18 / F1 - F3</t>
  </si>
  <si>
    <t>EJE  F3 -  F3 / 19 - 17</t>
  </si>
  <si>
    <t>EJE  F4 -  F4 / 19 - 17</t>
  </si>
  <si>
    <t>MURO PARALELO AL EJE F3 - F3</t>
  </si>
  <si>
    <t>COLUMNAS EN EJE F6 - F6 - / EJE 19 - 19 INTERIOR</t>
  </si>
  <si>
    <t>COLUMNAS EN EJE F4 - F4 - / EJE 19 - 19 INTERIOR</t>
  </si>
  <si>
    <t>COLUMNAS EN EJE F4 - F4 - / EJE 19 - 19 EXTERIOR</t>
  </si>
  <si>
    <t>COLUMNAS EN EJE F3 - F3 - / EJE 19 - 19 INTERIOR</t>
  </si>
  <si>
    <t>COLUMNAS EN EJE F3 - F3 - / EJE 19 - 19 EXTERIOR</t>
  </si>
  <si>
    <t>COLUMNAS EN EJE 19 - 19 / EJE F1 - F1</t>
  </si>
  <si>
    <t>COLUMNAS EN EJE 17 - 17 / EJE F6 - F6 INTERIOR</t>
  </si>
  <si>
    <t>COLUMNAS EN EJE 17 - 17 / EJE F4 - F4 INTERIOR</t>
  </si>
  <si>
    <t>COLUMNAS EN EJE 17 - 17 / EJE F3 - F3 INTERIOR</t>
  </si>
  <si>
    <t>COLUMNAS EN EJE 17 - 17 / EJE F3 - F3 EXTERIOR</t>
  </si>
  <si>
    <t>COLUMNAS EN EJE 17 - 17 / EJE F1 - F1</t>
  </si>
  <si>
    <t>COLUMNA INTERNA EJE 18 - 18 / EJE F3 - F3</t>
  </si>
  <si>
    <t>EJE F6 - F6 / 19 - 17  V- (25x40) INTERIOR</t>
  </si>
  <si>
    <t>EJE F4 - F4 / 19 - 17  V- (25x40) INTERIOR</t>
  </si>
  <si>
    <t>EJE F3' - F3' / 19 - 17  V- (25x40)</t>
  </si>
  <si>
    <t>EJE F3 - F3 / 19 - 17  V- (25x40) INTERIOR</t>
  </si>
  <si>
    <t>EJE F1 - F1 / 19 - 17  V- (25x40) EXTERIOR</t>
  </si>
  <si>
    <t>EJE 19 - 19 / F6 - F4  V- (25x40) INTERIOR</t>
  </si>
  <si>
    <t>EJE 19 - 19 / F4 - F3  V- (25x40) INTEROR</t>
  </si>
  <si>
    <t>EJE 19 - 19 / F3 - F1  V- (25x40) EXTERIOR</t>
  </si>
  <si>
    <t>EJE 17 - 17 / F6 - F4  V- (25x40) INTERIOR</t>
  </si>
  <si>
    <t>EJE 17 - 17 / F4 - F3  V- (25x40) INTERIOR</t>
  </si>
  <si>
    <t>EJE 17 - 17 / F3 - F1  V- (25x40) EXTERIOR</t>
  </si>
  <si>
    <t>PER.</t>
  </si>
  <si>
    <t>P - 6</t>
  </si>
  <si>
    <t>CTO. L.IMPIEZA - TABLERO ELECTRICO</t>
  </si>
  <si>
    <t>BLOQUE  -  05</t>
  </si>
  <si>
    <t>BLOQUE  -  06</t>
  </si>
  <si>
    <t>EJE D3 - D3 / 2 - 3</t>
  </si>
  <si>
    <t>EJE D5 - D5 / 2 - 3</t>
  </si>
  <si>
    <t>MUROS DE BAÑO - (H)</t>
  </si>
  <si>
    <t>MUROS DE BAÑO - (V)</t>
  </si>
  <si>
    <t>EJE D13 - D13 / 2 - 3</t>
  </si>
  <si>
    <t>MUROS DE ALMACEN - (H)</t>
  </si>
  <si>
    <t>MUROS DE ALMACEN - (V)</t>
  </si>
  <si>
    <t>DEP. LIMPIEZA - (H)</t>
  </si>
  <si>
    <t>MUROS DE SONIDO - (H)</t>
  </si>
  <si>
    <t>MUROS DE SONIDO - (V)</t>
  </si>
  <si>
    <t>MUROS DE ALMACEN DE LIBROS. - (H)</t>
  </si>
  <si>
    <t>EN MURO DE CABEZA LADRILLO KIN-KONG DE ARCILLA</t>
  </si>
  <si>
    <t>EJE 3 - 3 / D1 - D3</t>
  </si>
  <si>
    <t>EJE 3 - 3 / D3 - D5</t>
  </si>
  <si>
    <t>EJE 3 - 3 / D5 - D7</t>
  </si>
  <si>
    <t>EJE 3 - 3 / D9 - D11</t>
  </si>
  <si>
    <t>EJE 3 - 3 / D13 - D15</t>
  </si>
  <si>
    <t>EJE D15 - D15 / 2 - 3</t>
  </si>
  <si>
    <t>EJE D1 - D1 / 2 - 3</t>
  </si>
  <si>
    <t>EJE 2 - 2 / D1 - D3</t>
  </si>
  <si>
    <t>EJE 2 - 2 / D3 - D5</t>
  </si>
  <si>
    <t>EJE 2 - 2 / D5 - D7</t>
  </si>
  <si>
    <t>EJE 2 - 2 / D7 - D8</t>
  </si>
  <si>
    <t>EJE 2 - 2 / D8 - D9</t>
  </si>
  <si>
    <t>EJE 2 - 2 / D9 - D11</t>
  </si>
  <si>
    <t>EJE 2 - 2 / D11 - D13</t>
  </si>
  <si>
    <t>EJE 2 - 2 / D13 - D14</t>
  </si>
  <si>
    <t>EJE 2 - 2 / D14 - D15</t>
  </si>
  <si>
    <t>EJE 2 - 2 / D7 - D9</t>
  </si>
  <si>
    <t>EJE D9 - D9 / 2 - 3</t>
  </si>
  <si>
    <t>EJE 2 - 2 / D13 - D15</t>
  </si>
  <si>
    <t>MUROS DE CONCRETO</t>
  </si>
  <si>
    <t>EJE 3 - 3/ D1 - D3</t>
  </si>
  <si>
    <t>EJE 3 - 3/ D3 - D5</t>
  </si>
  <si>
    <t>EJE 3 - 3/ D5 - D7</t>
  </si>
  <si>
    <t>EJE 3 - 3/ D7 - D9</t>
  </si>
  <si>
    <t>EJE 3 - 3/ D9 - D11</t>
  </si>
  <si>
    <t>EJE 3 - 3/ D11 - D13</t>
  </si>
  <si>
    <t>EJE 3 - 3/ D13 - D15</t>
  </si>
  <si>
    <t>EJE D2 - D2 / 2 - 3</t>
  </si>
  <si>
    <t>COLUMNAS EN EJE 2 - D1</t>
  </si>
  <si>
    <t>COLUMNAS EN EJE 2 - D3</t>
  </si>
  <si>
    <t>COLUMNAS EN EJE 2 - D5</t>
  </si>
  <si>
    <t>COLUMNAS EN EJE 2 - D7</t>
  </si>
  <si>
    <t>COLUMNAS EN EJE 2 - D9</t>
  </si>
  <si>
    <t>COLUMNAS EN EJE 2 - D11</t>
  </si>
  <si>
    <t>COLUMNAS EN EJE 2 - D13</t>
  </si>
  <si>
    <t>COLUMNAS EN EJE 2 - D15</t>
  </si>
  <si>
    <t>COLUMNAS EN EJE 3 - D1</t>
  </si>
  <si>
    <t>COLUMNAS EN EJE 3 - D3</t>
  </si>
  <si>
    <t>COLUMNAS EN EJE 3 - D5</t>
  </si>
  <si>
    <t>COLUMNAS EN EJE 3 - D7</t>
  </si>
  <si>
    <t>COLUMNAS EN EJE 3 - D9</t>
  </si>
  <si>
    <t>COLUMNAS EN EJE 3 - D11</t>
  </si>
  <si>
    <t>COLUMNAS EN EJE 3 - D13</t>
  </si>
  <si>
    <t>COLUMNAS EN EJE 3 - D15</t>
  </si>
  <si>
    <t>COLUMNAS EN EJE 1 / D1 - D15</t>
  </si>
  <si>
    <t>COLUMNAS EN EJE 2 / D3 - D11</t>
  </si>
  <si>
    <t>COLUMNAS EN EJE 2 / D5 - D11</t>
  </si>
  <si>
    <t>COLUMNAS EN EJE 3 / D5 - D11</t>
  </si>
  <si>
    <t>EJE 3 - 3 / D7 - D9</t>
  </si>
  <si>
    <t>EJE 3 - 3 / D11 - D13</t>
  </si>
  <si>
    <t>EJE D7 - D7 / 2 - 3</t>
  </si>
  <si>
    <t>EJE D11 - D11 / 2 - 3</t>
  </si>
  <si>
    <t>2 lados</t>
  </si>
  <si>
    <t>EJE 1 - 1 / D1 - D2</t>
  </si>
  <si>
    <t>EJE 1 - 1 / D2 - D3</t>
  </si>
  <si>
    <t>EJE 1 - 1 / D3 - D4</t>
  </si>
  <si>
    <t>EJE 1 - 1 / D4 - D5</t>
  </si>
  <si>
    <t>EJE 1 - 1 / D5 - D6</t>
  </si>
  <si>
    <t>EJE 1 - 1 / D6 - D7</t>
  </si>
  <si>
    <t>EJE 1 - 1 / D7 - D8</t>
  </si>
  <si>
    <t>EJE 1 - 1 / D8 - D9</t>
  </si>
  <si>
    <t>EJE 1 - 1 / D9 - 10</t>
  </si>
  <si>
    <t>EJE 1 - 1 / 10 - 11</t>
  </si>
  <si>
    <t>EJE 1 - 1 / 11 - 12</t>
  </si>
  <si>
    <t>EJE 1 - 1 / 12 - 13</t>
  </si>
  <si>
    <t>EJE 1 - 1 / 13 - 14</t>
  </si>
  <si>
    <t>EJE 1 - 1 / 14 - 15</t>
  </si>
  <si>
    <t>EJE D1 - D1 / 1 - 2</t>
  </si>
  <si>
    <t>EJE D3 - D3 / 1 - 2</t>
  </si>
  <si>
    <t>EJE D5 - D5 / 1 - 2</t>
  </si>
  <si>
    <t>EJE D7 - D7 / 1 - 2</t>
  </si>
  <si>
    <t>EJE D9 - D9 / 1 - 2</t>
  </si>
  <si>
    <t>EJE D11 - D11 / 1 - 2</t>
  </si>
  <si>
    <t>EJE D13 - D3 / 1 - 2</t>
  </si>
  <si>
    <t>EJE D13 - D3 / 2 - 3</t>
  </si>
  <si>
    <t>EJE D15 - D3 / 1 - 2</t>
  </si>
  <si>
    <t>EJE D15 - D3 / 2 - 3</t>
  </si>
  <si>
    <t>EJE D9 - D9/ 1 - 2</t>
  </si>
  <si>
    <t>EJE D13 - D13 / 1 - 2</t>
  </si>
  <si>
    <t>EJE D15 - D15 / 1 - 2</t>
  </si>
  <si>
    <t>EMPASTADO VESTIDURA DE DERRAMES</t>
  </si>
  <si>
    <t>VESTIDURA DE DERRAMES E=0.15M INTERIOR</t>
  </si>
  <si>
    <t xml:space="preserve">V - 34 </t>
  </si>
  <si>
    <t xml:space="preserve">P - 25 </t>
  </si>
  <si>
    <t xml:space="preserve">P - 27 </t>
  </si>
  <si>
    <t>V - 35</t>
  </si>
  <si>
    <t>P - 15</t>
  </si>
  <si>
    <t>P - 18</t>
  </si>
  <si>
    <t>P - 19</t>
  </si>
  <si>
    <t>VESTIDURA DE DERRAMES E=0.25M EXTERIOR</t>
  </si>
  <si>
    <t xml:space="preserve">V - 28 </t>
  </si>
  <si>
    <t xml:space="preserve">V - 29 </t>
  </si>
  <si>
    <t>V - 31</t>
  </si>
  <si>
    <t>V - 32</t>
  </si>
  <si>
    <t>V - 33</t>
  </si>
  <si>
    <t>P - 20</t>
  </si>
  <si>
    <t>P - 21</t>
  </si>
  <si>
    <t>P - 22</t>
  </si>
  <si>
    <t>P - 23</t>
  </si>
  <si>
    <t>P - 24</t>
  </si>
  <si>
    <t>V - 23</t>
  </si>
  <si>
    <t>P - 14</t>
  </si>
  <si>
    <t>P - 17</t>
  </si>
  <si>
    <t>V - 42</t>
  </si>
  <si>
    <t>P - 31</t>
  </si>
  <si>
    <t>V - 48</t>
  </si>
  <si>
    <t>V - 49</t>
  </si>
  <si>
    <t>P - 36</t>
  </si>
  <si>
    <t>P - N1</t>
  </si>
  <si>
    <t>COMEDOR</t>
  </si>
  <si>
    <t>COCINA</t>
  </si>
  <si>
    <t>ALMACEN</t>
  </si>
  <si>
    <t>CUARTO LIMPIO</t>
  </si>
  <si>
    <t>SUM - DEBAJO DE MEZANINE</t>
  </si>
  <si>
    <t>CUARTO DE SONIDO</t>
  </si>
  <si>
    <t>MEZANINE</t>
  </si>
  <si>
    <t>BLOQUE  -  04</t>
  </si>
  <si>
    <t>EJE 26 - EJE 27 / EJE E1</t>
  </si>
  <si>
    <t xml:space="preserve">EJE 27 - EJE 28 / EJE E1 </t>
  </si>
  <si>
    <t>EJE E1 - EJE E2 / EJE 27</t>
  </si>
  <si>
    <t>EJE 26 - EJE 27 / EJE E2</t>
  </si>
  <si>
    <t>EJE 27 - EJE 28 / EJE E2</t>
  </si>
  <si>
    <t>EJE E1 - EJE E2 / EJE 28</t>
  </si>
  <si>
    <t>EJE E1 - EJE E2 / EJE 26</t>
  </si>
  <si>
    <t>EJE E2 - EJE E3  / EJE 26</t>
  </si>
  <si>
    <t>EJE E2 - EJE E3 / EJE 28</t>
  </si>
  <si>
    <t>EJE E3 - EJE E4 / EJE 26</t>
  </si>
  <si>
    <t>EJE E3 - EJE E4 / EJE 28</t>
  </si>
  <si>
    <t>EJE E4 - EJE E5 / EJE 26</t>
  </si>
  <si>
    <t>EJE E4 - EJE E5 / EJE 28</t>
  </si>
  <si>
    <t>EJE 26 - EJE 28 / EJE E5</t>
  </si>
  <si>
    <t>EJE 26 - EJE 28 / ENTRE EJE E5 - EJE E6</t>
  </si>
  <si>
    <t>EJE E5 - EJE E6 / EJE 28</t>
  </si>
  <si>
    <t>EJE E5 - EJE E6 / EJE 26</t>
  </si>
  <si>
    <t xml:space="preserve">EJE E6 - EJE E7/ EJE 26 </t>
  </si>
  <si>
    <t>EJE E6 - EJE E7/ EJE 28</t>
  </si>
  <si>
    <t>EJE E7 - EJE 8 / EJE 26</t>
  </si>
  <si>
    <t>EJE E7 - EJE 8 / EJE 28</t>
  </si>
  <si>
    <t>EJE 25 - EJE 26 / EJE E8</t>
  </si>
  <si>
    <t>EJE 26 - EJE 27 / EJE E8</t>
  </si>
  <si>
    <t>EJE 27 - EJE 28 / EJE E8</t>
  </si>
  <si>
    <t>EJE 25 - EJE 26 / EJE E9</t>
  </si>
  <si>
    <t>EJE 26 - EJE 27 / EJE E9</t>
  </si>
  <si>
    <t>EJE 27 - EJE 28 / EJE E9</t>
  </si>
  <si>
    <t>EJE 25 - EJE 26 / EJE E10</t>
  </si>
  <si>
    <t>EJE 26 - EJE 27 / EJE E10</t>
  </si>
  <si>
    <t>EJE 27 - EJE 28 / EJE E10</t>
  </si>
  <si>
    <t>EJE E9 - EJE E10 / EJE 25</t>
  </si>
  <si>
    <t>EJE E8 - EJE E9 / EJE 25</t>
  </si>
  <si>
    <t>EJE E9 -EJE E10 / ENTRE EJE 26 - EJE 27</t>
  </si>
  <si>
    <t>EJE E8 - EJE E9  / EJE 28</t>
  </si>
  <si>
    <t>EJE E8 - EJE E9 / EJE 27</t>
  </si>
  <si>
    <t>EJE 27 - EJE 28 / ENTRE EJE E8 - EJE E9</t>
  </si>
  <si>
    <t>EJE E9 - EJE E10 / EJE 28</t>
  </si>
  <si>
    <t>EJE 27 - EJE 28 / EJE E1</t>
  </si>
  <si>
    <t xml:space="preserve">EJE E5 - EJE E6 / ENTRE EJE 27 - EJE 28 </t>
  </si>
  <si>
    <t>EJE E9 - EJE E10 / EJE 26</t>
  </si>
  <si>
    <t>EJE E8 - EJE E9 / EJE 26</t>
  </si>
  <si>
    <t>EJE E8 - EJE E9 / EJE 28</t>
  </si>
  <si>
    <t>EJE E7 - EJE E8 / EJE 26</t>
  </si>
  <si>
    <t>EJE E7 - EJE E8 / EJE 28</t>
  </si>
  <si>
    <t xml:space="preserve">EJE E6 - EJE E7 / EJE 26 </t>
  </si>
  <si>
    <t>EJE E6 - EJE E7 / EJE 28</t>
  </si>
  <si>
    <t>EJE E2 - EJE E3 / EJE 26</t>
  </si>
  <si>
    <t>EJE E1 - EJE E2 / ENTRE EJE 27 - EJE 28</t>
  </si>
  <si>
    <t>EJE E1 - EJE E2 / ENTRE EJE 26 - EJE 27</t>
  </si>
  <si>
    <t>EJE E6 - EJE E7/ EJE 26</t>
  </si>
  <si>
    <t>EJE E2 - E4 / EJE 26</t>
  </si>
  <si>
    <t>EJE E4 - E6 / EJE 26</t>
  </si>
  <si>
    <t>EJE E6 - E8 / EJE 26</t>
  </si>
  <si>
    <t xml:space="preserve">EJE E1 / EJE 26 </t>
  </si>
  <si>
    <t>EJE E1 / EJE 26 PLACA</t>
  </si>
  <si>
    <t xml:space="preserve">EJE E2 / EJE 26 </t>
  </si>
  <si>
    <t>EJE E4 / EJE 26</t>
  </si>
  <si>
    <t>EJE E4 / EJE 26 PLACA</t>
  </si>
  <si>
    <t>EJE E6 / EJE 26</t>
  </si>
  <si>
    <t>EJE E8 / EJE 26</t>
  </si>
  <si>
    <t>EJE E8 / EJE 26 PLACA</t>
  </si>
  <si>
    <t>EJE E8 / EJE 25</t>
  </si>
  <si>
    <t>EJE E9 / EJE 26</t>
  </si>
  <si>
    <t>EJE E9 / EJE 25</t>
  </si>
  <si>
    <t xml:space="preserve">EJE E10 / EJE 26 </t>
  </si>
  <si>
    <t>EJE E10 / EJE 25</t>
  </si>
  <si>
    <t>EJE 26 / EJE E10  PLACA</t>
  </si>
  <si>
    <t xml:space="preserve">EJE E10 / EJE 27 </t>
  </si>
  <si>
    <t>EJE E9 / EJE 27</t>
  </si>
  <si>
    <t xml:space="preserve">EJE E8 / EJE 27 </t>
  </si>
  <si>
    <t>EJE E2 / EJE 27</t>
  </si>
  <si>
    <t>EJE E1 / EJE 27</t>
  </si>
  <si>
    <t xml:space="preserve">EJE E1 / EJE 28 </t>
  </si>
  <si>
    <t>EJE E1 / EJE 28 PLACA</t>
  </si>
  <si>
    <t>EJE E2 / EJE 28</t>
  </si>
  <si>
    <t>EJE E4 / EJE 28</t>
  </si>
  <si>
    <t>EJE E4 / EJE 28 PLACA</t>
  </si>
  <si>
    <t>EJE E6 / EJE 28</t>
  </si>
  <si>
    <t>EJE E8 / EJE 28</t>
  </si>
  <si>
    <t>EJE E8 / EJE 28 PLACA</t>
  </si>
  <si>
    <t>EJE E9 / EJE 28</t>
  </si>
  <si>
    <t>EJE E10 / EJE 28</t>
  </si>
  <si>
    <t>EJE E10 / EJE 28 PLACA</t>
  </si>
  <si>
    <t>TERCER  NIVEL</t>
  </si>
  <si>
    <t>EJE 26 - EJE 28 / EJE E10</t>
  </si>
  <si>
    <t>EJE E 9 - EJE E10 / EJE 25</t>
  </si>
  <si>
    <t>EJE E 9 - EJE E 10 / EJE 26</t>
  </si>
  <si>
    <t>EJE E 9 - EJE E 10 / EJE 28</t>
  </si>
  <si>
    <t>EJE E 8 - EJE E 9 / EJE 25</t>
  </si>
  <si>
    <t>EJE E 8 - EJE E 9 / EJE 26</t>
  </si>
  <si>
    <t>EJE E 8 - EJE E 9 / EJE 28</t>
  </si>
  <si>
    <t>EJE 25 - EJE 26 / EJE E 9</t>
  </si>
  <si>
    <t>EJE 26 - EJE 28 / EJE E 9</t>
  </si>
  <si>
    <t>EJE 25 - EJE 26 / EJE E 8</t>
  </si>
  <si>
    <t>EJE 26 - EJE 28 / EJE E 8</t>
  </si>
  <si>
    <t>EJE E 7 - EJE E 8 / EJE 25</t>
  </si>
  <si>
    <t>EJE E 7 - EJE E 8 / EJE 26</t>
  </si>
  <si>
    <t>EJE E 7 - EJE E 8 / EJE 28</t>
  </si>
  <si>
    <t>EJE 25 - EJE 26 / EJE E 7</t>
  </si>
  <si>
    <t>EJE 26 - EJE 28 / EJE E 7</t>
  </si>
  <si>
    <t>EJE E 6 - EJE E 7 / EJE 25</t>
  </si>
  <si>
    <t>EJE E 6 - EJE E 7 / EJE 26</t>
  </si>
  <si>
    <t>EJE E 6 - EJE E 7 / EJE 28</t>
  </si>
  <si>
    <t>EJE 25 - EJE 26 / EJE E 6</t>
  </si>
  <si>
    <t>EJE 26 - EJE 28 / EJE E 6</t>
  </si>
  <si>
    <t>EJE E 5 - EJE E 6 / EJE 25</t>
  </si>
  <si>
    <t>EJE E 5 - EJE E 6 / EJE 26</t>
  </si>
  <si>
    <t>EJE E 5 - EJE E 6 / EJE 28</t>
  </si>
  <si>
    <t>EJE 25 - EJE 26 / EJE E 5</t>
  </si>
  <si>
    <t>EJE 26 - EJE 28 / EJE E 5</t>
  </si>
  <si>
    <t>EJE E 4 - EJE E 5 / EJE 25</t>
  </si>
  <si>
    <t>EJE E 4 - EJE E 5 / EJE 26</t>
  </si>
  <si>
    <t>EJE E 4 - EJE E 5 / EJE 28</t>
  </si>
  <si>
    <t>EJE 25 - EJE 26 / EJE E 4</t>
  </si>
  <si>
    <t>EJE 26 - EJE 28 / EJE E 4</t>
  </si>
  <si>
    <t>EJE E 3 - EJE E 4 / EJE 25</t>
  </si>
  <si>
    <t>EJE E 3 - EJE E 4 / EJE 26</t>
  </si>
  <si>
    <t>EJE E 3 - EJE E 4 / EJE 28</t>
  </si>
  <si>
    <t>EJE 25 - EJE 26 / EJE E 3</t>
  </si>
  <si>
    <t>EJE 26 - EJE 28 / EJE E 3</t>
  </si>
  <si>
    <t>EJE 25 - EJE 26 / EJE E 2</t>
  </si>
  <si>
    <t>EJE 26 - EJE 28 / EJE E 2</t>
  </si>
  <si>
    <t>EJE E 1 - EJE E 2 / EJE 25</t>
  </si>
  <si>
    <t>EJE E 1 - EJE E 2 / EJE 26</t>
  </si>
  <si>
    <t>EJE E 1 - EJE E 2 / EJE 28</t>
  </si>
  <si>
    <t>EJE 25 - EJE 26 / EJE E 1</t>
  </si>
  <si>
    <t>EJE 26 - EJE 27 / EJE E 1</t>
  </si>
  <si>
    <t>EJE 27 - EJE 28 / EJE E 1</t>
  </si>
  <si>
    <t>V-8</t>
  </si>
  <si>
    <t>V-9</t>
  </si>
  <si>
    <t>V-10</t>
  </si>
  <si>
    <t>V-11</t>
  </si>
  <si>
    <t>V-11A</t>
  </si>
  <si>
    <t>V-12</t>
  </si>
  <si>
    <t>V-13</t>
  </si>
  <si>
    <t>V-14</t>
  </si>
  <si>
    <t>V-15</t>
  </si>
  <si>
    <t>V-16</t>
  </si>
  <si>
    <t>V-17</t>
  </si>
  <si>
    <t>V-18</t>
  </si>
  <si>
    <t>V-19</t>
  </si>
  <si>
    <t>P - 9</t>
  </si>
  <si>
    <t>P - 11</t>
  </si>
  <si>
    <t>P - 11A</t>
  </si>
  <si>
    <t>P - 10</t>
  </si>
  <si>
    <t>P - 10A</t>
  </si>
  <si>
    <t>P - 12</t>
  </si>
  <si>
    <t>P - 12A</t>
  </si>
  <si>
    <t>V-20</t>
  </si>
  <si>
    <t>V-37</t>
  </si>
  <si>
    <t>V-38</t>
  </si>
  <si>
    <t>V-40</t>
  </si>
  <si>
    <t>V-41</t>
  </si>
  <si>
    <t>P - 11B</t>
  </si>
  <si>
    <t>V-46</t>
  </si>
  <si>
    <t>V-46A</t>
  </si>
  <si>
    <t xml:space="preserve">EMPASTADO DE CIELO RASO SUSPENDIDO CON SISTEMA DRYWALL PANEL SUPERBOARD DE 6 mm </t>
  </si>
  <si>
    <t>CTO. DE LIMPIEZA</t>
  </si>
  <si>
    <t>BIBLIOTECA</t>
  </si>
  <si>
    <t>DEP. DE LIBROS</t>
  </si>
  <si>
    <t>AULA ESTANDAR</t>
  </si>
  <si>
    <t>BLOQUE  -  03</t>
  </si>
  <si>
    <t xml:space="preserve">CUIARTO NIVEL </t>
  </si>
  <si>
    <t>EJE F3 - F3 / 19 - 17  V- (25x40) EXTERIOR</t>
  </si>
  <si>
    <t>EJE F2 - F2 / 4 - 6</t>
  </si>
  <si>
    <t>EJE F2 - F2 / 6 - 8</t>
  </si>
  <si>
    <t>EJE F2 - F2 / 8 - 10</t>
  </si>
  <si>
    <t>EJE F2 - F2 /10 - 12</t>
  </si>
  <si>
    <t>EJE F2 - F2 / 12 -14</t>
  </si>
  <si>
    <t>EJE F2 - F2 / 14 - 16</t>
  </si>
  <si>
    <t>EJE 4 - 4 / F2 - F6</t>
  </si>
  <si>
    <t>EJE 8 - 8 / F2 - F6</t>
  </si>
  <si>
    <t>EJE 12 - 12 / F2 - F6</t>
  </si>
  <si>
    <t>EJE 16 - 16 / F2 - F6</t>
  </si>
  <si>
    <t>EJE F2 / 6 - 8 CASILLEROS</t>
  </si>
  <si>
    <t>MURO DE C°A°</t>
  </si>
  <si>
    <t>EJE F6 - F6</t>
  </si>
  <si>
    <t>EJE F2 - F2 CASILLEROS)</t>
  </si>
  <si>
    <t>EJE F6 - F6 (SOBRE VENTANAS)</t>
  </si>
  <si>
    <t xml:space="preserve">COLUMNAS EN EJE F6 / 4 INTERIOR </t>
  </si>
  <si>
    <t>COLUMNAS EN EJE F6 / 6 INTERIOR</t>
  </si>
  <si>
    <t>COLUMNAS EN EJE F6 / 8 INTERIOR</t>
  </si>
  <si>
    <t>COLUMNAS EN EJE F6 / 10 INTERIOR</t>
  </si>
  <si>
    <t>COLUMNAS EN EJE F6 / 12 INTERIOR</t>
  </si>
  <si>
    <t>COLUMNAS EN EJE F6 / 14 INTERIOR</t>
  </si>
  <si>
    <t xml:space="preserve">COLUMNAS EN EJE F6 / 16 INTERIOR </t>
  </si>
  <si>
    <t xml:space="preserve">COLUMNAS EN EJE F2 / 4 INTERIOR </t>
  </si>
  <si>
    <t>COLUMNAS EN EJE F2 / 4 EXTERIOR</t>
  </si>
  <si>
    <t xml:space="preserve">COLUMNAS EN EJE F2 / 6 INTERIOR </t>
  </si>
  <si>
    <t>COLUMNAS EN EJE F2 / 6 EXTERIOR</t>
  </si>
  <si>
    <t xml:space="preserve">COLUMNAS EN EJE F2 / 8 INTERIOR </t>
  </si>
  <si>
    <t>COLUMNAS EN EJE F2 / 8 EXTERIOR</t>
  </si>
  <si>
    <t xml:space="preserve">COLUMNAS EN EJE F2 / 10 INTERIOR </t>
  </si>
  <si>
    <t>COLUMNAS EN EJE F2 / 10 EXTERIOR</t>
  </si>
  <si>
    <t xml:space="preserve">COLUMNAS EN EJE F2 / 12 INTERIOR </t>
  </si>
  <si>
    <t>COLUMNAS EN EJE F2 / 12 EXTERIOR</t>
  </si>
  <si>
    <t xml:space="preserve">COLUMNAS EN EJE F2 / 14 INTERIOR </t>
  </si>
  <si>
    <t>COLUMNAS EN EJE F2 / 14 EXTERIOR</t>
  </si>
  <si>
    <t xml:space="preserve">COLUMNAS EN EJE F2 / 16 INTERIOR </t>
  </si>
  <si>
    <t>COLUMNAS EN EJE F2 / 16 EXTERIOR</t>
  </si>
  <si>
    <t>COLUMNAS EN EJE F1 / 4 EXTERIOR</t>
  </si>
  <si>
    <t>COLUMNAS EN EJE F1 / 6 - 14 EXTERIOR</t>
  </si>
  <si>
    <t>COLUMNAS EN EJE F1 / 16 EXTERIOR</t>
  </si>
  <si>
    <t>COLUMNAS EN EJE F6 / 6 - 14 INTERIOR</t>
  </si>
  <si>
    <t>COLUMNAS EN EJE F1 / 4 INTERIOR</t>
  </si>
  <si>
    <t>COLUMNAS EN EJE F1 / 6 - 14 INTERIOR</t>
  </si>
  <si>
    <t>COLUMNAS EN EJE F1 / 16 INTERIOR</t>
  </si>
  <si>
    <t>EJE F1 - F1 / 4 - 16  V- 102 (35x30)</t>
  </si>
  <si>
    <t xml:space="preserve">EJE F2 - F2 / 4 - 16  V- 101 (35x30) </t>
  </si>
  <si>
    <t xml:space="preserve">EJE F6 - F6 / 4 - 16  V- 101 (35x30) </t>
  </si>
  <si>
    <t>EJE 4 - 4 / F6 - F2  V- 103 (25x40)</t>
  </si>
  <si>
    <t>EJE 4 - 4 / F2 - F1  V- 103 (25x30)</t>
  </si>
  <si>
    <t>EJE 6 - 6 / F6 - F2  V- 104 (60x30)</t>
  </si>
  <si>
    <t>EJE 6 - 6 / F2 - F1  V- 104 (25x30)</t>
  </si>
  <si>
    <t>EJE 8 - 8 / F6 - F2  V- 103 (25x40)</t>
  </si>
  <si>
    <t>EJE 8 - 8 / F2 - F1  V- 103 (25x30)</t>
  </si>
  <si>
    <t>EJE 10 - 10 / F6 - F2  V- 104 (80x30)</t>
  </si>
  <si>
    <t>EJE 10 - 10 / F2 - F1  V- 104 (25x30)</t>
  </si>
  <si>
    <t>EJE 12 - 12 / F6 - F2  V- 103 (25x40)</t>
  </si>
  <si>
    <t>EJE 12 - 12 / F2 - F1  V- 103 (25x30)</t>
  </si>
  <si>
    <t>EJE 14 - 14 / F6 - F2  V- 104 (80x30)</t>
  </si>
  <si>
    <t>EJE 14 - 14 / F2 - F1  V- 104 (25x30)</t>
  </si>
  <si>
    <t>EJE 16 - 16 / F6 - F2  V- 103 (25x40)</t>
  </si>
  <si>
    <t>EJE 16 - 16 / F2 - F1 V- 103 (25x30)</t>
  </si>
  <si>
    <t xml:space="preserve">EJE F1 - F1 / 4 - 16  V- 302 (35x35) </t>
  </si>
  <si>
    <t>EJE F6 - F6 / 4 - 16  V- 401 (35x35)</t>
  </si>
  <si>
    <t>EJE 4 - 4 / F6 - F1  V- 104 (25x60)</t>
  </si>
  <si>
    <t>EJE 6 - 6 / F6 - F1  V- 104 (25x60)</t>
  </si>
  <si>
    <t>EJE 8 - 8 / F6 - F1  V- 104 (25x60)</t>
  </si>
  <si>
    <t>EJE 10 - 10 / F6 - F1  V- 104 (25x60)</t>
  </si>
  <si>
    <t>EJE 12 - 12 / F6 - F1  V- 104 (25x60)</t>
  </si>
  <si>
    <t>EJE 14 - 14 / F6 - F1  V- 104 (25x60)</t>
  </si>
  <si>
    <t>EJE 16 - 16 / F6 - F1  V- 104 (25x60)</t>
  </si>
  <si>
    <t>VIGA EN VOLADIZO EJE F6 - F6  V - 303 (25X35)</t>
  </si>
  <si>
    <t>TECHO CLOSET</t>
  </si>
  <si>
    <t>BLOQUE  -  02</t>
  </si>
  <si>
    <t>BLOQUE  -  01</t>
  </si>
  <si>
    <t>MURO DE CANTO LADRILLO KIN-KONG DE ARCILLA</t>
  </si>
  <si>
    <t>MURO INTERIOR EN VESTUARIO</t>
  </si>
  <si>
    <t>MURO INTERIOR DIVISORESEN VESTUARIO</t>
  </si>
  <si>
    <t>MURO INTERIOR EN SS.HH.</t>
  </si>
  <si>
    <t>MUROS EN PUERTA DE ENTRADA S.H. (COLUMNETA)</t>
  </si>
  <si>
    <t>MUROS EN VESTUARIOS CON DUCHA</t>
  </si>
  <si>
    <t>EJE 2 - 2 / F1 - F2</t>
  </si>
  <si>
    <t>EJE 2 - 2 / F5 - F6</t>
  </si>
  <si>
    <t>EJE F1 - F1 /1 - 2</t>
  </si>
  <si>
    <t>EJE F1 - F1 /2 - 3</t>
  </si>
  <si>
    <t>EJE F2 - F2 / 1 - 2</t>
  </si>
  <si>
    <t>EJE F2 - F2 / 2 - 3</t>
  </si>
  <si>
    <t>EJE F6 - F6 / 1 - 2</t>
  </si>
  <si>
    <t>EJE F6 - F6 / 2 - 3</t>
  </si>
  <si>
    <t>DESCONTANDO VANOS</t>
  </si>
  <si>
    <t>V - 3A</t>
  </si>
  <si>
    <t>MURO INTERIOR DIVISOR CTO. TABL.-S.H.</t>
  </si>
  <si>
    <t>MURO INTERIOR DIVISOR S.H.-DEP. LIMPIEZA</t>
  </si>
  <si>
    <t>MURO INTERIOR DIVISOR ALMACEN-CTO. TABL.</t>
  </si>
  <si>
    <t>MURO INTERIOR DIVISOR ALMACEN-S.H.</t>
  </si>
  <si>
    <t>MURO INTERIOR DIVISOR COCINA-DEP. LIMPIEZA</t>
  </si>
  <si>
    <t>MURO INTERIOR DIVISOR COCINA-ALMACEN</t>
  </si>
  <si>
    <t>EJE 1 - 1 / F2 - F6</t>
  </si>
  <si>
    <t>V - 35A</t>
  </si>
  <si>
    <t>V - 36</t>
  </si>
  <si>
    <t>EJE - 1 / F1 - F2</t>
  </si>
  <si>
    <t>EJE - 1 / F2 - F5</t>
  </si>
  <si>
    <t>EJE - 1 / F5 - F6</t>
  </si>
  <si>
    <t>EJE 1 - 1 / F5 - F6</t>
  </si>
  <si>
    <t>EJE F2 / - 1</t>
  </si>
  <si>
    <t>EJE F2 / 2 - 3</t>
  </si>
  <si>
    <t>EJE F5 / - 1</t>
  </si>
  <si>
    <t>EJE F5 / 1 - 3</t>
  </si>
  <si>
    <t>EJE F1 - F1 / 2 - 3</t>
  </si>
  <si>
    <t>EJE F6 - F6 / - 1</t>
  </si>
  <si>
    <t>V - 35'</t>
  </si>
  <si>
    <t>V - 36B</t>
  </si>
  <si>
    <t>EJE 3 - 3 / F2 - F6</t>
  </si>
  <si>
    <t>MURO DE CONTENCION</t>
  </si>
  <si>
    <t>MUROS EN PUERTA DE ENTRADA (COLUMNETA)</t>
  </si>
  <si>
    <t>DUCHAS Y CAMERINOS</t>
  </si>
  <si>
    <t>DEP. LIMP.</t>
  </si>
  <si>
    <t>LAVADERO ESTERIOR</t>
  </si>
  <si>
    <t xml:space="preserve">EMPASTADO EN MUROS EXTERIORES </t>
  </si>
  <si>
    <t>EJE F1 - F1 / 1 -2</t>
  </si>
  <si>
    <t>EJE 1 - 2 / F5 - F6</t>
  </si>
  <si>
    <t>V - 2A</t>
  </si>
  <si>
    <t>EJE 1 - 1 / F1 - F2</t>
  </si>
  <si>
    <t>EJE F1 - F1  / - 1</t>
  </si>
  <si>
    <t>EJE F2 - F2  / - 1</t>
  </si>
  <si>
    <t>EJE 1 / F1 - F6</t>
  </si>
  <si>
    <t>EJE F1 / - 1</t>
  </si>
  <si>
    <t>EJE F6 / 1 - 3</t>
  </si>
  <si>
    <t>COLUMNAS EN EJE 1 / F1</t>
  </si>
  <si>
    <t>COLUMNAS EN EJE 2 / F1</t>
  </si>
  <si>
    <t>COLUMNAS EN EJE 2 / F2</t>
  </si>
  <si>
    <t>COLUMNAS EN EJE 2 / F6</t>
  </si>
  <si>
    <t>COLUMNAS EN EJE 3 / F1</t>
  </si>
  <si>
    <t>COLUMNAS EN EJE 3 / F2</t>
  </si>
  <si>
    <t>COLUMNAS INTERNA EN EJE 2 / F2 - F6</t>
  </si>
  <si>
    <t>COLUMNAS EN EJE 3 / F6</t>
  </si>
  <si>
    <t>COLUMNAS EN EJE 1 / F2</t>
  </si>
  <si>
    <t>COLUMNAS EN EJE 1 / F6</t>
  </si>
  <si>
    <t>EJE 2 - 2 / F2 - F6</t>
  </si>
  <si>
    <t>EJE 3 - 3 / F1 - F2</t>
  </si>
  <si>
    <t>EJE F1 - F1 / 1 - 2</t>
  </si>
  <si>
    <t>VOLADO EN EJE 1 - 1 / F1</t>
  </si>
  <si>
    <t>VOLADO EN EJE 1 - 1 / F2</t>
  </si>
  <si>
    <t>VOLADO EN EJE 1 - 1 / F6</t>
  </si>
  <si>
    <t>VOLADO EN EJE 1 - 1 / F1 - F2</t>
  </si>
  <si>
    <t>VOLADO EN EJE 1 - 1 / F2 - F6</t>
  </si>
  <si>
    <t>VOLADO EN EJE F6 - F6 / 1</t>
  </si>
  <si>
    <t>VOLADO EN EJE F6 - F6 / 3</t>
  </si>
  <si>
    <t>VOLADO EN EJE F6 - F6 / 1 - 3</t>
  </si>
  <si>
    <t>P - 26A</t>
  </si>
  <si>
    <t>P - 27</t>
  </si>
  <si>
    <t>P - 28</t>
  </si>
  <si>
    <t>P - 28A</t>
  </si>
  <si>
    <t>P - 29</t>
  </si>
  <si>
    <t>P - 32</t>
  </si>
  <si>
    <t>P - 35</t>
  </si>
  <si>
    <t>P - 37</t>
  </si>
  <si>
    <t>DUCHAS Y CAMERINOS 1</t>
  </si>
  <si>
    <t>PATIO</t>
  </si>
  <si>
    <t>CTO. TABL.</t>
  </si>
  <si>
    <t>SALA DE ESPERA - SALA DE REUNIONES</t>
  </si>
  <si>
    <t>DIRECCIÓN</t>
  </si>
  <si>
    <t>LOSA DE ACTIVIDADES LIBRES</t>
  </si>
  <si>
    <t>VOLADOS 1</t>
  </si>
  <si>
    <t>QUIOSCO 1</t>
  </si>
  <si>
    <t>PERIM.</t>
  </si>
  <si>
    <t>EN MURO DE LADRILLO KK TIPO IV SOGA M: 1:1:4, E=1.5cm</t>
  </si>
  <si>
    <t>EJE 1 - 1 / B0 - B1</t>
  </si>
  <si>
    <t>EJE 1 - 1 / B1 - B2</t>
  </si>
  <si>
    <t>EJE 2 - 2 / B0 - B1</t>
  </si>
  <si>
    <t>EJE 3 - 3 / B0 - B1</t>
  </si>
  <si>
    <t>EJE B0 - B0 / 2 - 3</t>
  </si>
  <si>
    <t>EJE B1 - B1 / 1 - 2</t>
  </si>
  <si>
    <t>EJE B2 - B2 / 1 - 3</t>
  </si>
  <si>
    <t>EJE B1 - B1 / 2 - 3</t>
  </si>
  <si>
    <t>EJE 3 - 3 / B1 - B2</t>
  </si>
  <si>
    <t>QUIOSCO 2</t>
  </si>
  <si>
    <t>COLUMNAS EN EJE 1 - B0</t>
  </si>
  <si>
    <t>COLUMNAS EN EJE 1 - B2</t>
  </si>
  <si>
    <t>COLUMNAS EN EJE 3 - B0</t>
  </si>
  <si>
    <t>COLUMNAS EN EJE 3 - B2</t>
  </si>
  <si>
    <t>EJE B0 - B0 / 1 - 2</t>
  </si>
  <si>
    <t>EJE B2 - B2 / 2 - 3</t>
  </si>
  <si>
    <t>P-1</t>
  </si>
  <si>
    <t>P-2</t>
  </si>
  <si>
    <t>V-1</t>
  </si>
  <si>
    <t>V-2</t>
  </si>
  <si>
    <t>V-3</t>
  </si>
  <si>
    <t>TIENDA ESCOLAR</t>
  </si>
  <si>
    <t>ALEROS</t>
  </si>
  <si>
    <t>QUIOSCOS P.</t>
  </si>
  <si>
    <t>QUIOSCOS S.</t>
  </si>
  <si>
    <t>EJE 1 - EJE 2 / EJE G</t>
  </si>
  <si>
    <t>MURO DE LADRILLO KK TIPO IV SOGA M: 1:1:4, E=1.5cm</t>
  </si>
  <si>
    <t>EJE 1 - 3 / EJE B</t>
  </si>
  <si>
    <t>EJE 1 - 3 / EJE D</t>
  </si>
  <si>
    <t>EJE 1 - 3 / EJE E</t>
  </si>
  <si>
    <t>EJE B - C / EJE 1 - 2</t>
  </si>
  <si>
    <t>EJE F - G / EJE 1 - 2</t>
  </si>
  <si>
    <t>EJE 3 - 3 / A - B (MURO DE CONTENCION)</t>
  </si>
  <si>
    <t>EJE 3 - 3 / B - D (MURO DE CONTENCION)</t>
  </si>
  <si>
    <t>EJE 3 - 3 / E - G (MURO DE CONTENCION)</t>
  </si>
  <si>
    <t>EJE 1 - 1 / A - B</t>
  </si>
  <si>
    <t>EJE 1 - 1 / B - C</t>
  </si>
  <si>
    <t>EJE 1 - 1 / C - D</t>
  </si>
  <si>
    <t>EJE 1 - 1 / E - F</t>
  </si>
  <si>
    <t>EJE 1 - 1 / F - G</t>
  </si>
  <si>
    <t>EJE 1 - EJE 3 / EJE B</t>
  </si>
  <si>
    <t>EJE A - EJE B / EJE 1</t>
  </si>
  <si>
    <t>TIENDA ESCOLAR 1</t>
  </si>
  <si>
    <t>TIENDA ESCOLAR 2</t>
  </si>
  <si>
    <t>EJE 3 - 3 / G - H (MURO DE CONTENCION)</t>
  </si>
  <si>
    <t>EJE H - H / 1 - 3 (MURO DE CONTENCION)</t>
  </si>
  <si>
    <t>EJE 3 - 3 / E - H (MURO DE CONTENCION)</t>
  </si>
  <si>
    <t>COLUMNAS EN EJE 1 - A</t>
  </si>
  <si>
    <t>COLUMNAS EN EJE 1 - B</t>
  </si>
  <si>
    <t>COLUMNAS EN EJE 1 - C</t>
  </si>
  <si>
    <t>COLUMNAS EN EJE 1 - D</t>
  </si>
  <si>
    <t>COLUMNAS EN EJE 1 - E</t>
  </si>
  <si>
    <t>COLUMNAS EN EJE 1 - F</t>
  </si>
  <si>
    <t>COLUMNAS EN EJE 1 - G</t>
  </si>
  <si>
    <t>COLUMNAS EN EJE 1 - H</t>
  </si>
  <si>
    <t>EJE A - A</t>
  </si>
  <si>
    <t>EJE B - B</t>
  </si>
  <si>
    <t>EJE C - C</t>
  </si>
  <si>
    <t>EJE D - D</t>
  </si>
  <si>
    <t>EJE E - E</t>
  </si>
  <si>
    <t>EJE F - F</t>
  </si>
  <si>
    <t>EJE G - G</t>
  </si>
  <si>
    <t>EJE H - H</t>
  </si>
  <si>
    <t>EJE 1 - 2 / B - C</t>
  </si>
  <si>
    <t>EJE 1 - 2 / C - D</t>
  </si>
  <si>
    <t>EJE 1 - 2 / E - F</t>
  </si>
  <si>
    <t>EJE 1 - 2 / F - G</t>
  </si>
  <si>
    <t>EJE 1 - 2 / G - H</t>
  </si>
  <si>
    <t>V-4</t>
  </si>
  <si>
    <t>P-3</t>
  </si>
  <si>
    <t>VOLADOS</t>
  </si>
  <si>
    <t>CUARTO DE BOMBAS</t>
  </si>
  <si>
    <t>AREA DE MESAS</t>
  </si>
  <si>
    <t>PROYECTO</t>
  </si>
  <si>
    <t>: MEJORAMIENTO DEL SERVICIO EDUCATIVO EN LA IEP N° 54002 SANTA ROSA E IES SANTA ROSA DEL DISTRITO DE ABANCAY, PROVINCIA DE ABANCAY - REGIÓN APURÍMAC.</t>
  </si>
  <si>
    <t>UBICACIÓN</t>
  </si>
  <si>
    <t>: ABANCAY - ABANCAY - APURÍMAC</t>
  </si>
  <si>
    <t>FECHA</t>
  </si>
  <si>
    <t>MODALIDAD</t>
  </si>
  <si>
    <t>: ADMINISTRACIÓN INDIRECTA - POR CONTRATA</t>
  </si>
  <si>
    <t xml:space="preserve">DESCRIPCION </t>
  </si>
  <si>
    <t>UND</t>
  </si>
  <si>
    <t>BLOQUE 1</t>
  </si>
  <si>
    <t>BLOQUE 2</t>
  </si>
  <si>
    <t>BLOQUE 3</t>
  </si>
  <si>
    <t>BLOQUE 4</t>
  </si>
  <si>
    <t>BLOQUE 5</t>
  </si>
  <si>
    <t>BLOQUE 6</t>
  </si>
  <si>
    <t>BLOQUE 7</t>
  </si>
  <si>
    <t>BLOQUE 8</t>
  </si>
  <si>
    <t>BLOQUE 9</t>
  </si>
  <si>
    <t>BLOQUE 10</t>
  </si>
  <si>
    <t>BLOQUE 11</t>
  </si>
  <si>
    <t>ESCALERA DE INGRESO</t>
  </si>
  <si>
    <t>QUIOSCOS</t>
  </si>
  <si>
    <t>GUARDIANÍAS</t>
  </si>
  <si>
    <t>ESCALERAS Y RAMPAS METÁLICAS</t>
  </si>
  <si>
    <t>ESTACIONAMIENTO</t>
  </si>
  <si>
    <t>EXTERIORES</t>
  </si>
  <si>
    <t>TOTAL</t>
  </si>
  <si>
    <t>PARTIDAS NUEVAS</t>
  </si>
  <si>
    <t>: FEBRERO 2022</t>
  </si>
  <si>
    <t>BLOQUE - 1</t>
  </si>
  <si>
    <t>HOJA DE METRADOS - ARQUITECTURA  PARTIDAS NUEVAS</t>
  </si>
  <si>
    <t>HOJA DE METRADOS - ARQUITECTURA PARTIDAS NUEVAS</t>
  </si>
  <si>
    <t>BLOQUE - 2</t>
  </si>
  <si>
    <t>BLOQUE - 03</t>
  </si>
  <si>
    <t>BLOQUE - 04</t>
  </si>
  <si>
    <t>BLOQUE - 05</t>
  </si>
  <si>
    <t>BLOQUE - 06</t>
  </si>
  <si>
    <t>BLOQUE - 07</t>
  </si>
  <si>
    <t>BLOQUE - 08</t>
  </si>
  <si>
    <t>BLOQUE - 09</t>
  </si>
  <si>
    <t>BLOQUE - 10</t>
  </si>
  <si>
    <t>O</t>
  </si>
  <si>
    <t>ESTACIONAMIENTO (PERIMETRO)</t>
  </si>
  <si>
    <t>COLUMNAS CIRCULARES R=0.30m</t>
  </si>
  <si>
    <t>GUARDIANIAS</t>
  </si>
  <si>
    <t>GUARDIANÍA PRIMARIA</t>
  </si>
  <si>
    <t>EJE 2' - 2' / A - B</t>
  </si>
  <si>
    <t>EJE 1 - 2 / A - B</t>
  </si>
  <si>
    <t>EJE 2 - 3 / A - B</t>
  </si>
  <si>
    <t>EJE 3 - 3 / A - B</t>
  </si>
  <si>
    <t>EJE 1' - 2' / B - B</t>
  </si>
  <si>
    <t>EJE 1' - 2' / A - A</t>
  </si>
  <si>
    <t>EJE 1 - 2 / B - B</t>
  </si>
  <si>
    <t>EJE 1 - 2 / A - A</t>
  </si>
  <si>
    <t>EJE 2 - 3 / B - B</t>
  </si>
  <si>
    <t>EJE 2 - 3 / A - A</t>
  </si>
  <si>
    <t>GUARDIANÍA SECUNDARIA</t>
  </si>
  <si>
    <t>EJE 2 - 2 / A - B</t>
  </si>
  <si>
    <t>EJE A - A / 1 - 2</t>
  </si>
  <si>
    <t>EJE A - A / 2 - 3</t>
  </si>
  <si>
    <t>EJE B - B / 1 - 2</t>
  </si>
  <si>
    <t>EJE C - C / 1 - 2</t>
  </si>
  <si>
    <t>EJE B' - B' / 2 - 3</t>
  </si>
  <si>
    <t>COLUMNAS EN EJE 1' - B</t>
  </si>
  <si>
    <t>COLUMNAS EN EJE 1' - A</t>
  </si>
  <si>
    <t>COLUMNAS EN EJE 2' - B</t>
  </si>
  <si>
    <t>COLUMNAS EN EJE 2' - A</t>
  </si>
  <si>
    <t>COLUMNAS EN EJE 2 - B</t>
  </si>
  <si>
    <t>COLUMNAS EN EJE 2 - A</t>
  </si>
  <si>
    <t>COLUMNAS EN EJE 3 - B</t>
  </si>
  <si>
    <t>COLUMNAS EN EJE 3 - A</t>
  </si>
  <si>
    <t>EJE 1' - 1' / A - B</t>
  </si>
  <si>
    <t>EJE B - B / 1' - 2'</t>
  </si>
  <si>
    <t>EJE A - A / 1' - 2'</t>
  </si>
  <si>
    <t>EJE B - B / 2 - 3</t>
  </si>
  <si>
    <t>V - 81</t>
  </si>
  <si>
    <t>V - 82</t>
  </si>
  <si>
    <t>V - 83</t>
  </si>
  <si>
    <t>V - 85</t>
  </si>
  <si>
    <t>GUARDIANIA SECUNDARIA</t>
  </si>
  <si>
    <t>V - 84</t>
  </si>
  <si>
    <t>V - 86</t>
  </si>
  <si>
    <t>GUARDIANIA PRIMARIA</t>
  </si>
  <si>
    <t>GUARDIANIA</t>
  </si>
  <si>
    <t>ALERO</t>
  </si>
  <si>
    <t>CONTROL</t>
  </si>
  <si>
    <t>CUADRO RESUMEN GENERAL DE PARTIDAS NUEVAS (ARQUITECTURA)</t>
  </si>
  <si>
    <t>02.09</t>
  </si>
  <si>
    <t>02.09.01</t>
  </si>
  <si>
    <t>02.09.02</t>
  </si>
  <si>
    <t>02.09.03</t>
  </si>
  <si>
    <t>02.09.04</t>
  </si>
  <si>
    <t>02.09.05</t>
  </si>
  <si>
    <t>02.09.06</t>
  </si>
  <si>
    <t>02</t>
  </si>
  <si>
    <t>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</si>
</sst>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m\-yyyy"/>
    <numFmt numFmtId="165" formatCode="0.000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8"/>
      <name val="Calibri"/>
      <family val="2"/>
    </font>
    <font>
      <sz val="3"/>
      <name val="Arial Narrow"/>
      <family val="2"/>
    </font>
    <font>
      <b/>
      <sz val="3"/>
      <name val="Arial Narrow"/>
      <family val="2"/>
    </font>
    <font>
      <sz val="3"/>
      <name val="Calibri"/>
      <family val="2"/>
    </font>
    <font>
      <sz val="11"/>
      <name val="Arial Black"/>
      <family val="2"/>
    </font>
    <font>
      <sz val="3"/>
      <color theme="1" tint="4.9989318521683403E-2"/>
      <name val="Arial Narrow"/>
      <family val="2"/>
    </font>
    <font>
      <b/>
      <sz val="3"/>
      <color theme="1" tint="4.9989318521683403E-2"/>
      <name val="Arial Narrow"/>
      <family val="2"/>
    </font>
    <font>
      <sz val="8"/>
      <color theme="1" tint="4.9989318521683403E-2"/>
      <name val="Arial Narrow"/>
      <family val="2"/>
    </font>
    <font>
      <b/>
      <sz val="8"/>
      <color theme="1" tint="4.9989318521683403E-2"/>
      <name val="Arial Narrow"/>
      <family val="2"/>
    </font>
    <font>
      <b/>
      <sz val="8"/>
      <color indexed="10"/>
      <name val="Arial Narrow"/>
      <family val="2"/>
    </font>
    <font>
      <b/>
      <sz val="9"/>
      <color indexed="20"/>
      <name val="Arial Narrow"/>
      <family val="2"/>
    </font>
    <font>
      <b/>
      <sz val="9"/>
      <color theme="1"/>
      <name val="Arial Narrow"/>
      <family val="2"/>
    </font>
    <font>
      <b/>
      <sz val="8"/>
      <color indexed="12"/>
      <name val="Arial Narrow"/>
      <family val="2"/>
    </font>
    <font>
      <b/>
      <i/>
      <u/>
      <sz val="8"/>
      <name val="Arial Narrow"/>
      <family val="2"/>
    </font>
    <font>
      <b/>
      <i/>
      <u/>
      <sz val="8"/>
      <color theme="1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8"/>
      <color indexed="8"/>
      <name val="Arial Narrow"/>
      <family val="2"/>
    </font>
    <font>
      <sz val="8"/>
      <color rgb="FFFF0000"/>
      <name val="Arial Narrow"/>
      <family val="2"/>
    </font>
    <font>
      <b/>
      <u/>
      <sz val="8"/>
      <color indexed="8"/>
      <name val="Arial Narrow"/>
      <family val="2"/>
    </font>
    <font>
      <b/>
      <u/>
      <sz val="8"/>
      <name val="Arial Narrow"/>
      <family val="2"/>
    </font>
    <font>
      <sz val="8"/>
      <color theme="4"/>
      <name val="Arial Narrow"/>
      <family val="2"/>
    </font>
    <font>
      <b/>
      <u/>
      <sz val="8"/>
      <color theme="1"/>
      <name val="Arial Narrow"/>
      <family val="2"/>
    </font>
    <font>
      <b/>
      <sz val="8"/>
      <color indexed="17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i/>
      <sz val="8"/>
      <color indexed="8"/>
      <name val="Arial Narrow"/>
      <family val="2"/>
    </font>
    <font>
      <b/>
      <i/>
      <sz val="8"/>
      <color theme="1"/>
      <name val="Arial Narrow"/>
      <family val="2"/>
    </font>
    <font>
      <b/>
      <sz val="8"/>
      <color rgb="FFFF0000"/>
      <name val="Arial Narrow"/>
      <family val="2"/>
    </font>
    <font>
      <sz val="8"/>
      <color indexed="8"/>
      <name val="Arial"/>
      <family val="2"/>
    </font>
    <font>
      <b/>
      <u/>
      <sz val="1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8"/>
      <color rgb="FFCC0000"/>
      <name val="Arial"/>
      <family val="2"/>
    </font>
    <font>
      <sz val="10"/>
      <color theme="1"/>
      <name val="Calibri"/>
      <family val="2"/>
      <scheme val="minor"/>
    </font>
    <font>
      <b/>
      <sz val="8"/>
      <color theme="4"/>
      <name val="Arial"/>
      <family val="2"/>
    </font>
    <font>
      <sz val="8"/>
      <color indexed="7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0" fillId="0" borderId="0">
      <alignment vertical="center"/>
    </xf>
  </cellStyleXfs>
  <cellXfs count="434">
    <xf numFmtId="0" fontId="0" fillId="0" borderId="0" xfId="0"/>
    <xf numFmtId="1" fontId="3" fillId="0" borderId="1" xfId="1" applyNumberFormat="1" applyFont="1" applyBorder="1" applyAlignment="1" applyProtection="1">
      <alignment horizontal="right" vertical="top"/>
      <protection locked="0"/>
    </xf>
    <xf numFmtId="2" fontId="3" fillId="0" borderId="1" xfId="1" applyNumberFormat="1" applyFont="1" applyBorder="1" applyAlignment="1" applyProtection="1">
      <alignment horizontal="right" vertical="top"/>
      <protection locked="0"/>
    </xf>
    <xf numFmtId="1" fontId="3" fillId="0" borderId="1" xfId="1" applyNumberFormat="1" applyFont="1" applyBorder="1" applyAlignment="1">
      <alignment horizontal="right" vertical="top"/>
    </xf>
    <xf numFmtId="0" fontId="5" fillId="2" borderId="1" xfId="1" applyFont="1" applyFill="1" applyBorder="1" applyAlignment="1">
      <alignment horizontal="left" vertical="top" wrapText="1" indent="2"/>
    </xf>
    <xf numFmtId="1" fontId="6" fillId="2" borderId="1" xfId="1" applyNumberFormat="1" applyFont="1" applyFill="1" applyBorder="1" applyAlignment="1">
      <alignment horizontal="right" vertical="top"/>
    </xf>
    <xf numFmtId="2" fontId="6" fillId="2" borderId="1" xfId="1" applyNumberFormat="1" applyFont="1" applyFill="1" applyBorder="1" applyAlignment="1">
      <alignment horizontal="right" vertical="top"/>
    </xf>
    <xf numFmtId="2" fontId="5" fillId="2" borderId="1" xfId="1" applyNumberFormat="1" applyFont="1" applyFill="1" applyBorder="1" applyAlignment="1">
      <alignment horizontal="right" vertical="top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quotePrefix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2" fontId="9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9" fillId="0" borderId="0" xfId="1" quotePrefix="1" applyFont="1" applyAlignment="1">
      <alignment vertical="center"/>
    </xf>
    <xf numFmtId="0" fontId="10" fillId="0" borderId="0" xfId="1" applyFont="1" applyAlignment="1">
      <alignment horizontal="left" vertical="center"/>
    </xf>
    <xf numFmtId="2" fontId="10" fillId="0" borderId="0" xfId="1" applyNumberFormat="1" applyFont="1" applyAlignment="1">
      <alignment horizontal="right" vertical="center"/>
    </xf>
    <xf numFmtId="2" fontId="10" fillId="0" borderId="0" xfId="1" applyNumberFormat="1" applyFont="1" applyAlignment="1">
      <alignment horizontal="center" vertical="center"/>
    </xf>
    <xf numFmtId="2" fontId="10" fillId="0" borderId="0" xfId="1" applyNumberFormat="1" applyFont="1" applyAlignment="1">
      <alignment vertical="center"/>
    </xf>
    <xf numFmtId="0" fontId="13" fillId="0" borderId="5" xfId="1" applyFont="1" applyBorder="1" applyAlignment="1">
      <alignment vertical="center"/>
    </xf>
    <xf numFmtId="0" fontId="13" fillId="0" borderId="6" xfId="1" applyFont="1" applyBorder="1" applyAlignment="1">
      <alignment horizontal="left" vertical="center"/>
    </xf>
    <xf numFmtId="0" fontId="14" fillId="0" borderId="6" xfId="1" applyFont="1" applyBorder="1" applyAlignment="1">
      <alignment horizontal="center" vertical="center"/>
    </xf>
    <xf numFmtId="2" fontId="13" fillId="0" borderId="6" xfId="1" applyNumberFormat="1" applyFont="1" applyBorder="1" applyAlignment="1">
      <alignment horizontal="right" vertical="center"/>
    </xf>
    <xf numFmtId="0" fontId="13" fillId="0" borderId="6" xfId="1" applyFont="1" applyBorder="1" applyAlignment="1">
      <alignment horizontal="center" vertical="center"/>
    </xf>
    <xf numFmtId="2" fontId="13" fillId="0" borderId="6" xfId="1" applyNumberFormat="1" applyFont="1" applyBorder="1" applyAlignment="1">
      <alignment horizontal="center" vertical="center"/>
    </xf>
    <xf numFmtId="0" fontId="13" fillId="0" borderId="6" xfId="1" applyFont="1" applyBorder="1" applyAlignment="1">
      <alignment vertical="center"/>
    </xf>
    <xf numFmtId="2" fontId="14" fillId="0" borderId="7" xfId="1" applyNumberFormat="1" applyFont="1" applyBorder="1" applyAlignment="1">
      <alignment vertical="center"/>
    </xf>
    <xf numFmtId="0" fontId="15" fillId="0" borderId="8" xfId="1" applyFont="1" applyBorder="1" applyAlignment="1">
      <alignment horizontal="right" vertical="top"/>
    </xf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2" fontId="15" fillId="0" borderId="0" xfId="1" applyNumberFormat="1" applyFont="1" applyAlignment="1">
      <alignment horizontal="right" vertical="center"/>
    </xf>
    <xf numFmtId="2" fontId="16" fillId="0" borderId="0" xfId="1" applyNumberFormat="1" applyFont="1" applyAlignment="1">
      <alignment horizontal="right" vertical="center"/>
    </xf>
    <xf numFmtId="2" fontId="16" fillId="0" borderId="0" xfId="1" applyNumberFormat="1" applyFont="1" applyAlignment="1">
      <alignment horizontal="center" vertical="center"/>
    </xf>
    <xf numFmtId="2" fontId="16" fillId="0" borderId="0" xfId="1" applyNumberFormat="1" applyFont="1" applyAlignment="1">
      <alignment horizontal="left" vertical="center" indent="1"/>
    </xf>
    <xf numFmtId="2" fontId="16" fillId="0" borderId="9" xfId="1" applyNumberFormat="1" applyFont="1" applyBorder="1" applyAlignment="1">
      <alignment vertical="center"/>
    </xf>
    <xf numFmtId="164" fontId="16" fillId="0" borderId="0" xfId="1" quotePrefix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2" fontId="16" fillId="0" borderId="0" xfId="1" applyNumberFormat="1" applyFont="1" applyAlignment="1">
      <alignment vertical="center"/>
    </xf>
    <xf numFmtId="0" fontId="16" fillId="0" borderId="0" xfId="1" applyFont="1" applyAlignment="1">
      <alignment vertical="center"/>
    </xf>
    <xf numFmtId="2" fontId="16" fillId="0" borderId="0" xfId="1" applyNumberFormat="1" applyFont="1" applyAlignment="1">
      <alignment horizontal="left" vertical="center" wrapText="1"/>
    </xf>
    <xf numFmtId="0" fontId="16" fillId="0" borderId="0" xfId="1" applyFont="1" applyAlignment="1">
      <alignment horizontal="left" vertical="center" wrapText="1"/>
    </xf>
    <xf numFmtId="2" fontId="16" fillId="0" borderId="0" xfId="1" applyNumberFormat="1" applyFont="1" applyAlignment="1">
      <alignment horizontal="left" vertical="center"/>
    </xf>
    <xf numFmtId="2" fontId="15" fillId="0" borderId="0" xfId="1" applyNumberFormat="1" applyFont="1" applyAlignment="1">
      <alignment vertical="center"/>
    </xf>
    <xf numFmtId="0" fontId="10" fillId="0" borderId="10" xfId="1" applyFont="1" applyBorder="1" applyAlignment="1">
      <alignment vertical="center"/>
    </xf>
    <xf numFmtId="0" fontId="10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center" vertical="center"/>
    </xf>
    <xf numFmtId="2" fontId="10" fillId="0" borderId="11" xfId="1" applyNumberFormat="1" applyFont="1" applyBorder="1" applyAlignment="1">
      <alignment horizontal="left" vertical="center"/>
    </xf>
    <xf numFmtId="2" fontId="9" fillId="0" borderId="11" xfId="1" applyNumberFormat="1" applyFont="1" applyBorder="1" applyAlignment="1">
      <alignment vertical="center"/>
    </xf>
    <xf numFmtId="2" fontId="10" fillId="0" borderId="11" xfId="1" applyNumberFormat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2" fontId="9" fillId="0" borderId="11" xfId="1" applyNumberFormat="1" applyFont="1" applyBorder="1" applyAlignment="1">
      <alignment horizontal="center" vertical="center"/>
    </xf>
    <xf numFmtId="0" fontId="9" fillId="0" borderId="11" xfId="1" applyFont="1" applyBorder="1" applyAlignment="1">
      <alignment vertical="center"/>
    </xf>
    <xf numFmtId="2" fontId="10" fillId="0" borderId="12" xfId="1" applyNumberFormat="1" applyFont="1" applyBorder="1" applyAlignment="1">
      <alignment vertical="center"/>
    </xf>
    <xf numFmtId="2" fontId="9" fillId="0" borderId="0" xfId="1" applyNumberFormat="1" applyFont="1" applyAlignment="1">
      <alignment horizontal="left" vertical="center"/>
    </xf>
    <xf numFmtId="0" fontId="7" fillId="0" borderId="0" xfId="1" applyFont="1"/>
    <xf numFmtId="2" fontId="2" fillId="3" borderId="17" xfId="1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10" fillId="0" borderId="14" xfId="1" applyFont="1" applyBorder="1" applyAlignment="1">
      <alignment vertical="center"/>
    </xf>
    <xf numFmtId="0" fontId="17" fillId="0" borderId="14" xfId="1" applyFont="1" applyBorder="1" applyAlignment="1" applyProtection="1">
      <alignment horizontal="left" vertical="top" wrapText="1"/>
      <protection locked="0"/>
    </xf>
    <xf numFmtId="0" fontId="10" fillId="0" borderId="14" xfId="1" applyFont="1" applyBorder="1" applyAlignment="1">
      <alignment horizontal="center" vertical="center"/>
    </xf>
    <xf numFmtId="2" fontId="9" fillId="0" borderId="14" xfId="1" applyNumberFormat="1" applyFont="1" applyBorder="1" applyAlignment="1">
      <alignment horizontal="right" vertical="center"/>
    </xf>
    <xf numFmtId="0" fontId="9" fillId="0" borderId="14" xfId="1" applyFont="1" applyBorder="1" applyAlignment="1">
      <alignment horizontal="center" vertical="center"/>
    </xf>
    <xf numFmtId="2" fontId="9" fillId="0" borderId="14" xfId="1" applyNumberFormat="1" applyFont="1" applyBorder="1" applyAlignment="1">
      <alignment horizontal="center" vertical="center"/>
    </xf>
    <xf numFmtId="2" fontId="10" fillId="0" borderId="14" xfId="1" applyNumberFormat="1" applyFont="1" applyBorder="1" applyAlignment="1">
      <alignment vertical="center"/>
    </xf>
    <xf numFmtId="0" fontId="18" fillId="0" borderId="0" xfId="0" applyFont="1"/>
    <xf numFmtId="0" fontId="18" fillId="0" borderId="0" xfId="1" applyFont="1" applyAlignment="1">
      <alignment horizontal="left" vertical="top"/>
    </xf>
    <xf numFmtId="0" fontId="18" fillId="0" borderId="1" xfId="1" quotePrefix="1" applyFont="1" applyBorder="1" applyAlignment="1">
      <alignment horizontal="left" vertical="top"/>
    </xf>
    <xf numFmtId="0" fontId="18" fillId="0" borderId="1" xfId="0" applyFont="1" applyBorder="1" applyAlignment="1" applyProtection="1">
      <alignment horizontal="left" vertical="top" wrapText="1"/>
      <protection locked="0"/>
    </xf>
    <xf numFmtId="0" fontId="18" fillId="0" borderId="1" xfId="0" applyFont="1" applyBorder="1" applyAlignment="1" applyProtection="1">
      <alignment horizontal="center" vertical="top"/>
      <protection locked="0"/>
    </xf>
    <xf numFmtId="1" fontId="19" fillId="0" borderId="1" xfId="1" applyNumberFormat="1" applyFont="1" applyBorder="1" applyAlignment="1">
      <alignment horizontal="right" vertical="top"/>
    </xf>
    <xf numFmtId="2" fontId="19" fillId="0" borderId="1" xfId="1" applyNumberFormat="1" applyFont="1" applyBorder="1" applyAlignment="1">
      <alignment horizontal="right" vertical="top"/>
    </xf>
    <xf numFmtId="2" fontId="18" fillId="0" borderId="1" xfId="1" applyNumberFormat="1" applyFont="1" applyBorder="1" applyAlignment="1">
      <alignment horizontal="right" vertical="top"/>
    </xf>
    <xf numFmtId="0" fontId="18" fillId="0" borderId="0" xfId="1" applyFont="1" applyAlignment="1">
      <alignment vertical="center"/>
    </xf>
    <xf numFmtId="0" fontId="17" fillId="0" borderId="0" xfId="0" applyFont="1"/>
    <xf numFmtId="0" fontId="17" fillId="0" borderId="0" xfId="1" applyFont="1" applyAlignment="1">
      <alignment horizontal="left" vertical="top"/>
    </xf>
    <xf numFmtId="49" fontId="17" fillId="0" borderId="1" xfId="1" quotePrefix="1" applyNumberFormat="1" applyFont="1" applyBorder="1" applyAlignment="1" applyProtection="1">
      <alignment horizontal="left" vertical="top"/>
      <protection locked="0"/>
    </xf>
    <xf numFmtId="0" fontId="17" fillId="0" borderId="1" xfId="1" applyFont="1" applyBorder="1" applyAlignment="1" applyProtection="1">
      <alignment horizontal="left" vertical="top" wrapText="1"/>
      <protection locked="0"/>
    </xf>
    <xf numFmtId="0" fontId="17" fillId="0" borderId="1" xfId="1" applyFont="1" applyBorder="1" applyAlignment="1" applyProtection="1">
      <alignment horizontal="center" vertical="top"/>
      <protection locked="0"/>
    </xf>
    <xf numFmtId="2" fontId="17" fillId="0" borderId="1" xfId="1" applyNumberFormat="1" applyFont="1" applyBorder="1" applyAlignment="1">
      <alignment horizontal="right" vertical="top"/>
    </xf>
    <xf numFmtId="0" fontId="17" fillId="0" borderId="0" xfId="1" applyFont="1" applyAlignment="1">
      <alignment vertical="center"/>
    </xf>
    <xf numFmtId="0" fontId="2" fillId="0" borderId="0" xfId="0" applyFont="1"/>
    <xf numFmtId="0" fontId="2" fillId="0" borderId="0" xfId="1" applyFont="1" applyAlignment="1">
      <alignment horizontal="left" vertical="top"/>
    </xf>
    <xf numFmtId="49" fontId="20" fillId="0" borderId="1" xfId="1" quotePrefix="1" applyNumberFormat="1" applyFont="1" applyBorder="1" applyAlignment="1" applyProtection="1">
      <alignment horizontal="left" vertical="top"/>
      <protection locked="0"/>
    </xf>
    <xf numFmtId="0" fontId="20" fillId="0" borderId="1" xfId="1" applyFont="1" applyBorder="1" applyAlignment="1" applyProtection="1">
      <alignment horizontal="left" vertical="top" wrapText="1"/>
      <protection locked="0"/>
    </xf>
    <xf numFmtId="0" fontId="20" fillId="0" borderId="1" xfId="1" applyFont="1" applyBorder="1" applyAlignment="1" applyProtection="1">
      <alignment horizontal="center" vertical="top"/>
      <protection locked="0"/>
    </xf>
    <xf numFmtId="2" fontId="20" fillId="0" borderId="1" xfId="1" applyNumberFormat="1" applyFont="1" applyBorder="1" applyAlignment="1">
      <alignment horizontal="right" vertical="top"/>
    </xf>
    <xf numFmtId="2" fontId="2" fillId="0" borderId="0" xfId="1" applyNumberFormat="1" applyFont="1" applyAlignment="1">
      <alignment vertical="center"/>
    </xf>
    <xf numFmtId="0" fontId="5" fillId="0" borderId="0" xfId="0" applyFont="1"/>
    <xf numFmtId="0" fontId="2" fillId="0" borderId="1" xfId="1" quotePrefix="1" applyFont="1" applyBorder="1" applyAlignment="1" applyProtection="1">
      <alignment horizontal="left" vertical="top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center" vertical="top"/>
      <protection locked="0"/>
    </xf>
    <xf numFmtId="1" fontId="2" fillId="0" borderId="1" xfId="1" applyNumberFormat="1" applyFont="1" applyBorder="1" applyAlignment="1">
      <alignment horizontal="right" vertical="top"/>
    </xf>
    <xf numFmtId="2" fontId="2" fillId="0" borderId="1" xfId="1" applyNumberFormat="1" applyFont="1" applyBorder="1" applyAlignment="1">
      <alignment horizontal="right" vertical="top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0" fontId="21" fillId="0" borderId="1" xfId="1" applyFont="1" applyBorder="1" applyAlignment="1" applyProtection="1">
      <alignment horizontal="left" vertical="top" wrapText="1"/>
      <protection locked="0"/>
    </xf>
    <xf numFmtId="0" fontId="5" fillId="0" borderId="1" xfId="1" applyFont="1" applyBorder="1" applyAlignment="1">
      <alignment horizontal="center" vertical="top"/>
    </xf>
    <xf numFmtId="1" fontId="6" fillId="0" borderId="1" xfId="1" applyNumberFormat="1" applyFont="1" applyBorder="1" applyAlignment="1">
      <alignment horizontal="right" vertical="top"/>
    </xf>
    <xf numFmtId="2" fontId="6" fillId="0" borderId="1" xfId="1" applyNumberFormat="1" applyFont="1" applyBorder="1" applyAlignment="1">
      <alignment horizontal="right" vertical="top"/>
    </xf>
    <xf numFmtId="2" fontId="5" fillId="0" borderId="1" xfId="1" applyNumberFormat="1" applyFont="1" applyBorder="1" applyAlignment="1">
      <alignment horizontal="right" vertical="top"/>
    </xf>
    <xf numFmtId="1" fontId="5" fillId="0" borderId="1" xfId="1" applyNumberFormat="1" applyFont="1" applyBorder="1" applyAlignment="1">
      <alignment horizontal="right" vertical="top"/>
    </xf>
    <xf numFmtId="2" fontId="4" fillId="0" borderId="1" xfId="1" applyNumberFormat="1" applyFont="1" applyBorder="1" applyAlignment="1">
      <alignment horizontal="right" vertical="top"/>
    </xf>
    <xf numFmtId="49" fontId="5" fillId="0" borderId="1" xfId="1" applyNumberFormat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 wrapText="1" indent="1"/>
    </xf>
    <xf numFmtId="0" fontId="6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 indent="2"/>
    </xf>
    <xf numFmtId="0" fontId="4" fillId="0" borderId="1" xfId="1" quotePrefix="1" applyFont="1" applyBorder="1" applyAlignment="1" applyProtection="1">
      <alignment horizontal="left" vertical="top"/>
      <protection locked="0"/>
    </xf>
    <xf numFmtId="1" fontId="4" fillId="0" borderId="1" xfId="1" applyNumberFormat="1" applyFont="1" applyBorder="1" applyAlignment="1">
      <alignment horizontal="right" vertical="top"/>
    </xf>
    <xf numFmtId="0" fontId="4" fillId="0" borderId="1" xfId="1" applyFont="1" applyBorder="1" applyAlignment="1">
      <alignment horizontal="left" vertical="top" wrapText="1" indent="1"/>
    </xf>
    <xf numFmtId="0" fontId="3" fillId="0" borderId="1" xfId="1" applyFont="1" applyBorder="1" applyAlignment="1">
      <alignment horizontal="center" vertical="top"/>
    </xf>
    <xf numFmtId="2" fontId="3" fillId="0" borderId="1" xfId="1" applyNumberFormat="1" applyFont="1" applyBorder="1" applyAlignment="1">
      <alignment horizontal="right" vertical="top"/>
    </xf>
    <xf numFmtId="0" fontId="22" fillId="0" borderId="1" xfId="1" applyFont="1" applyBorder="1" applyAlignment="1">
      <alignment horizontal="left" vertical="top" wrapText="1" indent="1"/>
    </xf>
    <xf numFmtId="0" fontId="6" fillId="2" borderId="1" xfId="1" applyFont="1" applyFill="1" applyBorder="1" applyAlignment="1">
      <alignment horizontal="center" vertical="top"/>
    </xf>
    <xf numFmtId="1" fontId="5" fillId="2" borderId="1" xfId="1" applyNumberFormat="1" applyFont="1" applyFill="1" applyBorder="1" applyAlignment="1">
      <alignment horizontal="right" vertical="top"/>
    </xf>
    <xf numFmtId="0" fontId="2" fillId="3" borderId="17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top" wrapText="1" indent="2"/>
    </xf>
    <xf numFmtId="0" fontId="7" fillId="2" borderId="1" xfId="1" applyFont="1" applyFill="1" applyBorder="1" applyAlignment="1">
      <alignment horizontal="center" vertical="top"/>
    </xf>
    <xf numFmtId="1" fontId="7" fillId="2" borderId="1" xfId="1" applyNumberFormat="1" applyFont="1" applyFill="1" applyBorder="1" applyAlignment="1">
      <alignment horizontal="right" vertical="top"/>
    </xf>
    <xf numFmtId="2" fontId="7" fillId="2" borderId="1" xfId="1" applyNumberFormat="1" applyFont="1" applyFill="1" applyBorder="1" applyAlignment="1">
      <alignment horizontal="right" vertical="top"/>
    </xf>
    <xf numFmtId="0" fontId="6" fillId="2" borderId="0" xfId="1" applyFont="1" applyFill="1" applyAlignment="1">
      <alignment horizontal="left" vertical="top" wrapText="1" indent="2"/>
    </xf>
    <xf numFmtId="0" fontId="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>
      <alignment horizontal="left" vertical="top" wrapText="1" indent="2"/>
    </xf>
    <xf numFmtId="0" fontId="6" fillId="2" borderId="1" xfId="1" applyFont="1" applyFill="1" applyBorder="1" applyAlignment="1">
      <alignment horizontal="left" vertical="top" wrapText="1" indent="2"/>
    </xf>
    <xf numFmtId="0" fontId="5" fillId="2" borderId="1" xfId="1" applyFont="1" applyFill="1" applyBorder="1" applyAlignment="1">
      <alignment horizontal="center" vertical="top"/>
    </xf>
    <xf numFmtId="1" fontId="2" fillId="0" borderId="1" xfId="1" applyNumberFormat="1" applyFont="1" applyBorder="1" applyAlignment="1" applyProtection="1">
      <alignment horizontal="right" vertical="top"/>
      <protection locked="0"/>
    </xf>
    <xf numFmtId="0" fontId="25" fillId="0" borderId="1" xfId="1" applyFont="1" applyBorder="1" applyAlignment="1" applyProtection="1">
      <alignment horizontal="left" vertical="top" wrapText="1" indent="1"/>
      <protection locked="0"/>
    </xf>
    <xf numFmtId="0" fontId="4" fillId="0" borderId="1" xfId="1" applyFont="1" applyBorder="1" applyAlignment="1" applyProtection="1">
      <alignment horizontal="center" vertical="top"/>
      <protection locked="0"/>
    </xf>
    <xf numFmtId="1" fontId="4" fillId="0" borderId="1" xfId="1" applyNumberFormat="1" applyFont="1" applyBorder="1" applyAlignment="1" applyProtection="1">
      <alignment horizontal="right" vertical="top"/>
      <protection locked="0"/>
    </xf>
    <xf numFmtId="0" fontId="4" fillId="0" borderId="1" xfId="1" applyFont="1" applyBorder="1" applyAlignment="1" applyProtection="1">
      <alignment horizontal="left" vertical="top" wrapText="1" indent="1"/>
      <protection locked="0"/>
    </xf>
    <xf numFmtId="0" fontId="5" fillId="2" borderId="1" xfId="1" applyFont="1" applyFill="1" applyBorder="1" applyAlignment="1" applyProtection="1">
      <alignment horizontal="left" vertical="top" wrapText="1" indent="2"/>
      <protection locked="0"/>
    </xf>
    <xf numFmtId="1" fontId="5" fillId="2" borderId="1" xfId="1" applyNumberFormat="1" applyFont="1" applyFill="1" applyBorder="1" applyAlignment="1" applyProtection="1">
      <alignment horizontal="right" vertical="top"/>
      <protection locked="0"/>
    </xf>
    <xf numFmtId="2" fontId="6" fillId="2" borderId="1" xfId="1" applyNumberFormat="1" applyFont="1" applyFill="1" applyBorder="1" applyAlignment="1" applyProtection="1">
      <alignment horizontal="right" vertical="top"/>
      <protection locked="0"/>
    </xf>
    <xf numFmtId="0" fontId="4" fillId="0" borderId="1" xfId="1" applyFont="1" applyBorder="1" applyAlignment="1">
      <alignment horizontal="center" vertical="top"/>
    </xf>
    <xf numFmtId="0" fontId="7" fillId="2" borderId="1" xfId="1" applyFont="1" applyFill="1" applyBorder="1" applyAlignment="1" applyProtection="1">
      <alignment horizontal="left" vertical="top" wrapText="1" indent="2"/>
      <protection locked="0"/>
    </xf>
    <xf numFmtId="1" fontId="7" fillId="2" borderId="1" xfId="1" applyNumberFormat="1" applyFont="1" applyFill="1" applyBorder="1" applyAlignment="1" applyProtection="1">
      <alignment horizontal="right" vertical="top"/>
      <protection locked="0"/>
    </xf>
    <xf numFmtId="2" fontId="7" fillId="2" borderId="1" xfId="1" applyNumberFormat="1" applyFont="1" applyFill="1" applyBorder="1" applyAlignment="1" applyProtection="1">
      <alignment horizontal="right" vertical="top"/>
      <protection locked="0"/>
    </xf>
    <xf numFmtId="1" fontId="5" fillId="0" borderId="1" xfId="1" applyNumberFormat="1" applyFont="1" applyBorder="1" applyAlignment="1" applyProtection="1">
      <alignment horizontal="right" vertical="top"/>
      <protection locked="0"/>
    </xf>
    <xf numFmtId="2" fontId="6" fillId="0" borderId="1" xfId="1" applyNumberFormat="1" applyFont="1" applyBorder="1" applyAlignment="1" applyProtection="1">
      <alignment horizontal="right" vertical="top"/>
      <protection locked="0"/>
    </xf>
    <xf numFmtId="2" fontId="7" fillId="0" borderId="1" xfId="1" applyNumberFormat="1" applyFont="1" applyBorder="1" applyAlignment="1">
      <alignment horizontal="right" vertical="top"/>
    </xf>
    <xf numFmtId="0" fontId="5" fillId="2" borderId="1" xfId="1" applyFont="1" applyFill="1" applyBorder="1" applyAlignment="1" applyProtection="1">
      <alignment horizontal="center" vertical="top"/>
      <protection locked="0"/>
    </xf>
    <xf numFmtId="0" fontId="4" fillId="0" borderId="1" xfId="1" applyFont="1" applyBorder="1" applyAlignment="1">
      <alignment horizontal="left" vertical="top"/>
    </xf>
    <xf numFmtId="0" fontId="17" fillId="0" borderId="0" xfId="0" applyFont="1" applyFill="1"/>
    <xf numFmtId="0" fontId="17" fillId="0" borderId="0" xfId="1" applyFont="1" applyFill="1" applyAlignment="1">
      <alignment horizontal="left" vertical="top"/>
    </xf>
    <xf numFmtId="49" fontId="17" fillId="0" borderId="1" xfId="1" quotePrefix="1" applyNumberFormat="1" applyFont="1" applyFill="1" applyBorder="1" applyAlignment="1" applyProtection="1">
      <alignment horizontal="left" vertical="top"/>
      <protection locked="0"/>
    </xf>
    <xf numFmtId="0" fontId="17" fillId="0" borderId="1" xfId="1" applyFont="1" applyFill="1" applyBorder="1" applyAlignment="1" applyProtection="1">
      <alignment horizontal="left" vertical="top" wrapText="1"/>
      <protection locked="0"/>
    </xf>
    <xf numFmtId="0" fontId="17" fillId="0" borderId="1" xfId="1" applyFont="1" applyFill="1" applyBorder="1" applyAlignment="1" applyProtection="1">
      <alignment horizontal="center" vertical="top"/>
      <protection locked="0"/>
    </xf>
    <xf numFmtId="1" fontId="3" fillId="0" borderId="1" xfId="1" applyNumberFormat="1" applyFont="1" applyFill="1" applyBorder="1" applyAlignment="1" applyProtection="1">
      <alignment horizontal="right" vertical="top"/>
      <protection locked="0"/>
    </xf>
    <xf numFmtId="2" fontId="3" fillId="0" borderId="1" xfId="1" applyNumberFormat="1" applyFont="1" applyFill="1" applyBorder="1" applyAlignment="1" applyProtection="1">
      <alignment horizontal="right" vertical="top"/>
      <protection locked="0"/>
    </xf>
    <xf numFmtId="1" fontId="3" fillId="0" borderId="1" xfId="1" applyNumberFormat="1" applyFont="1" applyFill="1" applyBorder="1" applyAlignment="1">
      <alignment horizontal="right" vertical="top"/>
    </xf>
    <xf numFmtId="2" fontId="17" fillId="0" borderId="1" xfId="1" applyNumberFormat="1" applyFont="1" applyFill="1" applyBorder="1" applyAlignment="1">
      <alignment horizontal="right" vertical="top"/>
    </xf>
    <xf numFmtId="0" fontId="17" fillId="0" borderId="0" xfId="1" applyFont="1" applyFill="1" applyAlignment="1">
      <alignment vertical="center"/>
    </xf>
    <xf numFmtId="0" fontId="2" fillId="0" borderId="0" xfId="0" applyFont="1" applyFill="1"/>
    <xf numFmtId="0" fontId="2" fillId="0" borderId="0" xfId="1" applyFont="1" applyFill="1" applyAlignment="1">
      <alignment horizontal="left" vertical="top"/>
    </xf>
    <xf numFmtId="49" fontId="20" fillId="0" borderId="1" xfId="1" quotePrefix="1" applyNumberFormat="1" applyFont="1" applyFill="1" applyBorder="1" applyAlignment="1" applyProtection="1">
      <alignment horizontal="left" vertical="top"/>
      <protection locked="0"/>
    </xf>
    <xf numFmtId="0" fontId="20" fillId="0" borderId="1" xfId="1" applyFont="1" applyFill="1" applyBorder="1" applyAlignment="1" applyProtection="1">
      <alignment horizontal="left" vertical="top" wrapText="1"/>
      <protection locked="0"/>
    </xf>
    <xf numFmtId="0" fontId="20" fillId="0" borderId="1" xfId="1" applyFont="1" applyFill="1" applyBorder="1" applyAlignment="1" applyProtection="1">
      <alignment horizontal="center" vertical="top"/>
      <protection locked="0"/>
    </xf>
    <xf numFmtId="2" fontId="20" fillId="0" borderId="1" xfId="1" applyNumberFormat="1" applyFont="1" applyFill="1" applyBorder="1" applyAlignment="1">
      <alignment horizontal="right" vertical="top"/>
    </xf>
    <xf numFmtId="0" fontId="2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2" fillId="0" borderId="1" xfId="1" quotePrefix="1" applyFont="1" applyFill="1" applyBorder="1" applyAlignment="1" applyProtection="1">
      <alignment horizontal="left" vertical="top"/>
      <protection locked="0"/>
    </xf>
    <xf numFmtId="0" fontId="2" fillId="0" borderId="1" xfId="1" applyFont="1" applyFill="1" applyBorder="1" applyAlignment="1" applyProtection="1">
      <alignment horizontal="left" vertical="top" wrapText="1"/>
      <protection locked="0"/>
    </xf>
    <xf numFmtId="0" fontId="2" fillId="0" borderId="1" xfId="1" applyFont="1" applyFill="1" applyBorder="1" applyAlignment="1" applyProtection="1">
      <alignment horizontal="center" vertical="top"/>
      <protection locked="0"/>
    </xf>
    <xf numFmtId="1" fontId="2" fillId="0" borderId="1" xfId="1" applyNumberFormat="1" applyFont="1" applyFill="1" applyBorder="1" applyAlignment="1" applyProtection="1">
      <alignment horizontal="right" vertical="top"/>
      <protection locked="0"/>
    </xf>
    <xf numFmtId="2" fontId="2" fillId="0" borderId="1" xfId="1" applyNumberFormat="1" applyFont="1" applyFill="1" applyBorder="1" applyAlignment="1">
      <alignment horizontal="right" vertical="top"/>
    </xf>
    <xf numFmtId="0" fontId="4" fillId="0" borderId="1" xfId="1" quotePrefix="1" applyFont="1" applyFill="1" applyBorder="1" applyAlignment="1" applyProtection="1">
      <alignment horizontal="left" vertical="top"/>
      <protection locked="0"/>
    </xf>
    <xf numFmtId="0" fontId="25" fillId="0" borderId="1" xfId="1" applyFont="1" applyFill="1" applyBorder="1" applyAlignment="1" applyProtection="1">
      <alignment horizontal="left" vertical="top" wrapText="1" indent="1"/>
      <protection locked="0"/>
    </xf>
    <xf numFmtId="0" fontId="4" fillId="0" borderId="1" xfId="1" applyFont="1" applyFill="1" applyBorder="1" applyAlignment="1" applyProtection="1">
      <alignment horizontal="center" vertical="top"/>
      <protection locked="0"/>
    </xf>
    <xf numFmtId="1" fontId="4" fillId="0" borderId="1" xfId="1" applyNumberFormat="1" applyFont="1" applyFill="1" applyBorder="1" applyAlignment="1" applyProtection="1">
      <alignment horizontal="right" vertical="top"/>
      <protection locked="0"/>
    </xf>
    <xf numFmtId="2" fontId="4" fillId="0" borderId="1" xfId="1" applyNumberFormat="1" applyFont="1" applyFill="1" applyBorder="1" applyAlignment="1">
      <alignment horizontal="right" vertical="top"/>
    </xf>
    <xf numFmtId="49" fontId="4" fillId="0" borderId="1" xfId="1" applyNumberFormat="1" applyFont="1" applyFill="1" applyBorder="1" applyAlignment="1">
      <alignment horizontal="left" vertical="top"/>
    </xf>
    <xf numFmtId="0" fontId="4" fillId="0" borderId="1" xfId="1" applyFont="1" applyFill="1" applyBorder="1" applyAlignment="1" applyProtection="1">
      <alignment horizontal="left" vertical="top" wrapText="1" indent="1"/>
      <protection locked="0"/>
    </xf>
    <xf numFmtId="49" fontId="5" fillId="0" borderId="1" xfId="1" applyNumberFormat="1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center" vertical="top"/>
    </xf>
    <xf numFmtId="1" fontId="5" fillId="0" borderId="1" xfId="1" applyNumberFormat="1" applyFont="1" applyFill="1" applyBorder="1" applyAlignment="1" applyProtection="1">
      <alignment horizontal="right" vertical="top"/>
      <protection locked="0"/>
    </xf>
    <xf numFmtId="2" fontId="6" fillId="0" borderId="1" xfId="1" applyNumberFormat="1" applyFont="1" applyFill="1" applyBorder="1" applyAlignment="1" applyProtection="1">
      <alignment horizontal="right" vertical="top"/>
      <protection locked="0"/>
    </xf>
    <xf numFmtId="1" fontId="6" fillId="0" borderId="1" xfId="1" applyNumberFormat="1" applyFont="1" applyFill="1" applyBorder="1" applyAlignment="1">
      <alignment horizontal="right" vertical="top"/>
    </xf>
    <xf numFmtId="2" fontId="5" fillId="0" borderId="1" xfId="1" applyNumberFormat="1" applyFont="1" applyFill="1" applyBorder="1" applyAlignment="1">
      <alignment horizontal="right" vertical="top"/>
    </xf>
    <xf numFmtId="0" fontId="4" fillId="0" borderId="1" xfId="1" applyFont="1" applyFill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right" vertical="top"/>
    </xf>
    <xf numFmtId="2" fontId="3" fillId="0" borderId="1" xfId="1" applyNumberFormat="1" applyFont="1" applyFill="1" applyBorder="1" applyAlignment="1">
      <alignment horizontal="right" vertical="top"/>
    </xf>
    <xf numFmtId="0" fontId="3" fillId="0" borderId="1" xfId="1" applyFont="1" applyFill="1" applyBorder="1" applyAlignment="1">
      <alignment horizontal="left" vertical="top" wrapText="1" indent="1"/>
    </xf>
    <xf numFmtId="0" fontId="3" fillId="0" borderId="1" xfId="1" applyFont="1" applyFill="1" applyBorder="1" applyAlignment="1">
      <alignment horizontal="center" vertical="top"/>
    </xf>
    <xf numFmtId="1" fontId="7" fillId="0" borderId="1" xfId="1" applyNumberFormat="1" applyFont="1" applyFill="1" applyBorder="1" applyAlignment="1">
      <alignment horizontal="right" vertical="top"/>
    </xf>
    <xf numFmtId="2" fontId="7" fillId="0" borderId="1" xfId="1" applyNumberFormat="1" applyFont="1" applyFill="1" applyBorder="1" applyAlignment="1">
      <alignment horizontal="right" vertical="top"/>
    </xf>
    <xf numFmtId="1" fontId="5" fillId="0" borderId="1" xfId="1" applyNumberFormat="1" applyFont="1" applyFill="1" applyBorder="1" applyAlignment="1">
      <alignment horizontal="right" vertical="top"/>
    </xf>
    <xf numFmtId="0" fontId="22" fillId="0" borderId="1" xfId="1" applyFont="1" applyFill="1" applyBorder="1" applyAlignment="1">
      <alignment horizontal="left" vertical="top" wrapText="1" indent="1"/>
    </xf>
    <xf numFmtId="0" fontId="21" fillId="0" borderId="1" xfId="1" applyFont="1" applyFill="1" applyBorder="1" applyAlignment="1" applyProtection="1">
      <alignment horizontal="left" vertical="top" wrapText="1" indent="2"/>
      <protection locked="0"/>
    </xf>
    <xf numFmtId="0" fontId="5" fillId="0" borderId="1" xfId="1" applyFont="1" applyFill="1" applyBorder="1" applyAlignment="1">
      <alignment horizontal="left" vertical="top" wrapText="1" indent="2"/>
    </xf>
    <xf numFmtId="2" fontId="6" fillId="0" borderId="1" xfId="1" applyNumberFormat="1" applyFont="1" applyFill="1" applyBorder="1" applyAlignment="1">
      <alignment horizontal="right" vertical="top"/>
    </xf>
    <xf numFmtId="0" fontId="4" fillId="0" borderId="1" xfId="1" applyFont="1" applyFill="1" applyBorder="1" applyAlignment="1">
      <alignment horizontal="left" vertical="top" wrapText="1" indent="1"/>
    </xf>
    <xf numFmtId="0" fontId="6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horizontal="left" vertical="top"/>
    </xf>
    <xf numFmtId="49" fontId="4" fillId="0" borderId="1" xfId="1" applyNumberFormat="1" applyFont="1" applyFill="1" applyBorder="1" applyAlignment="1">
      <alignment horizontal="left" vertical="top" wrapText="1" indent="1"/>
    </xf>
    <xf numFmtId="0" fontId="27" fillId="0" borderId="1" xfId="1" applyFont="1" applyBorder="1" applyAlignment="1" applyProtection="1">
      <alignment horizontal="left" vertical="top" wrapText="1" indent="1"/>
      <protection locked="0"/>
    </xf>
    <xf numFmtId="2" fontId="2" fillId="0" borderId="1" xfId="1" applyNumberFormat="1" applyFont="1" applyBorder="1" applyAlignment="1" applyProtection="1">
      <alignment horizontal="right" vertical="top"/>
      <protection locked="0"/>
    </xf>
    <xf numFmtId="0" fontId="5" fillId="2" borderId="1" xfId="2" applyFont="1" applyFill="1" applyBorder="1" applyAlignment="1">
      <alignment horizontal="left" vertical="top" wrapText="1" indent="2"/>
    </xf>
    <xf numFmtId="0" fontId="27" fillId="0" borderId="1" xfId="1" applyFont="1" applyFill="1" applyBorder="1" applyAlignment="1" applyProtection="1">
      <alignment horizontal="left" vertical="top" wrapText="1" indent="1"/>
      <protection locked="0"/>
    </xf>
    <xf numFmtId="0" fontId="3" fillId="0" borderId="1" xfId="1" applyFont="1" applyFill="1" applyBorder="1" applyAlignment="1" applyProtection="1">
      <alignment horizontal="center" vertical="top"/>
      <protection locked="0"/>
    </xf>
    <xf numFmtId="0" fontId="3" fillId="0" borderId="1" xfId="1" applyFont="1" applyFill="1" applyBorder="1" applyAlignment="1">
      <alignment horizontal="left" vertical="top" wrapText="1" indent="2"/>
    </xf>
    <xf numFmtId="1" fontId="2" fillId="0" borderId="1" xfId="1" applyNumberFormat="1" applyFont="1" applyFill="1" applyBorder="1" applyAlignment="1">
      <alignment horizontal="right" vertical="top"/>
    </xf>
    <xf numFmtId="0" fontId="28" fillId="0" borderId="1" xfId="1" applyFont="1" applyFill="1" applyBorder="1" applyAlignment="1" applyProtection="1">
      <alignment horizontal="left" vertical="top" wrapText="1" indent="1"/>
      <protection locked="0"/>
    </xf>
    <xf numFmtId="2" fontId="2" fillId="0" borderId="1" xfId="1" applyNumberFormat="1" applyFont="1" applyFill="1" applyBorder="1" applyAlignment="1" applyProtection="1">
      <alignment horizontal="right" vertical="top"/>
      <protection locked="0"/>
    </xf>
    <xf numFmtId="49" fontId="7" fillId="0" borderId="1" xfId="1" applyNumberFormat="1" applyFont="1" applyFill="1" applyBorder="1" applyAlignment="1">
      <alignment horizontal="left" vertical="top"/>
    </xf>
    <xf numFmtId="0" fontId="5" fillId="0" borderId="0" xfId="0" applyFont="1" applyFill="1"/>
    <xf numFmtId="0" fontId="5" fillId="0" borderId="0" xfId="1" applyFont="1" applyFill="1" applyAlignment="1">
      <alignment horizontal="left" vertical="top"/>
    </xf>
    <xf numFmtId="0" fontId="5" fillId="0" borderId="0" xfId="1" applyFont="1" applyFill="1" applyAlignment="1">
      <alignment vertical="center"/>
    </xf>
    <xf numFmtId="0" fontId="22" fillId="0" borderId="1" xfId="1" applyFont="1" applyFill="1" applyBorder="1" applyAlignment="1">
      <alignment horizontal="left" vertical="top" wrapText="1" indent="2"/>
    </xf>
    <xf numFmtId="0" fontId="5" fillId="0" borderId="1" xfId="2" applyFont="1" applyFill="1" applyBorder="1" applyAlignment="1">
      <alignment horizontal="left" vertical="top" wrapText="1" indent="2"/>
    </xf>
    <xf numFmtId="0" fontId="4" fillId="4" borderId="1" xfId="1" applyFont="1" applyFill="1" applyBorder="1" applyAlignment="1" applyProtection="1">
      <alignment horizontal="left" vertical="top" wrapText="1" indent="1"/>
      <protection locked="0"/>
    </xf>
    <xf numFmtId="0" fontId="3" fillId="4" borderId="1" xfId="1" applyFont="1" applyFill="1" applyBorder="1" applyAlignment="1" applyProtection="1">
      <alignment horizontal="center" vertical="top"/>
      <protection locked="0"/>
    </xf>
    <xf numFmtId="1" fontId="3" fillId="4" borderId="1" xfId="1" applyNumberFormat="1" applyFont="1" applyFill="1" applyBorder="1" applyAlignment="1" applyProtection="1">
      <alignment horizontal="right" vertical="top"/>
      <protection locked="0"/>
    </xf>
    <xf numFmtId="2" fontId="3" fillId="4" borderId="1" xfId="1" applyNumberFormat="1" applyFont="1" applyFill="1" applyBorder="1" applyAlignment="1" applyProtection="1">
      <alignment horizontal="right" vertical="top"/>
      <protection locked="0"/>
    </xf>
    <xf numFmtId="1" fontId="4" fillId="4" borderId="1" xfId="1" applyNumberFormat="1" applyFont="1" applyFill="1" applyBorder="1" applyAlignment="1">
      <alignment horizontal="right" vertical="top"/>
    </xf>
    <xf numFmtId="2" fontId="4" fillId="4" borderId="1" xfId="1" applyNumberFormat="1" applyFont="1" applyFill="1" applyBorder="1" applyAlignment="1">
      <alignment horizontal="right" vertical="top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3" fillId="5" borderId="1" xfId="1" applyFont="1" applyFill="1" applyBorder="1" applyAlignment="1">
      <alignment horizontal="left" vertical="top" wrapText="1" indent="1"/>
    </xf>
    <xf numFmtId="0" fontId="3" fillId="5" borderId="1" xfId="1" applyFont="1" applyFill="1" applyBorder="1" applyAlignment="1">
      <alignment horizontal="center" vertical="top"/>
    </xf>
    <xf numFmtId="1" fontId="3" fillId="5" borderId="1" xfId="1" applyNumberFormat="1" applyFont="1" applyFill="1" applyBorder="1" applyAlignment="1">
      <alignment horizontal="right" vertical="top"/>
    </xf>
    <xf numFmtId="2" fontId="3" fillId="5" borderId="1" xfId="1" applyNumberFormat="1" applyFont="1" applyFill="1" applyBorder="1" applyAlignment="1">
      <alignment horizontal="right" vertical="top"/>
    </xf>
    <xf numFmtId="2" fontId="4" fillId="5" borderId="1" xfId="1" applyNumberFormat="1" applyFont="1" applyFill="1" applyBorder="1" applyAlignment="1">
      <alignment horizontal="right" vertical="top"/>
    </xf>
    <xf numFmtId="0" fontId="25" fillId="5" borderId="1" xfId="1" applyFont="1" applyFill="1" applyBorder="1" applyAlignment="1" applyProtection="1">
      <alignment horizontal="left" vertical="top" wrapText="1" indent="1"/>
      <protection locked="0"/>
    </xf>
    <xf numFmtId="0" fontId="6" fillId="5" borderId="1" xfId="1" applyFont="1" applyFill="1" applyBorder="1" applyAlignment="1">
      <alignment horizontal="left" vertical="top" wrapText="1" indent="2"/>
    </xf>
    <xf numFmtId="0" fontId="6" fillId="5" borderId="1" xfId="1" applyFont="1" applyFill="1" applyBorder="1" applyAlignment="1">
      <alignment horizontal="center" vertical="top"/>
    </xf>
    <xf numFmtId="1" fontId="6" fillId="5" borderId="1" xfId="1" applyNumberFormat="1" applyFont="1" applyFill="1" applyBorder="1" applyAlignment="1">
      <alignment horizontal="right" vertical="top"/>
    </xf>
    <xf numFmtId="2" fontId="6" fillId="5" borderId="1" xfId="1" applyNumberFormat="1" applyFont="1" applyFill="1" applyBorder="1" applyAlignment="1">
      <alignment horizontal="right" vertical="top"/>
    </xf>
    <xf numFmtId="2" fontId="5" fillId="5" borderId="1" xfId="1" applyNumberFormat="1" applyFont="1" applyFill="1" applyBorder="1" applyAlignment="1">
      <alignment horizontal="right" vertical="top"/>
    </xf>
    <xf numFmtId="0" fontId="5" fillId="5" borderId="1" xfId="1" applyFont="1" applyFill="1" applyBorder="1" applyAlignment="1" applyProtection="1">
      <alignment horizontal="left" vertical="top" wrapText="1" indent="2"/>
      <protection locked="0"/>
    </xf>
    <xf numFmtId="0" fontId="5" fillId="5" borderId="1" xfId="1" applyFont="1" applyFill="1" applyBorder="1" applyAlignment="1">
      <alignment horizontal="center" vertical="top"/>
    </xf>
    <xf numFmtId="1" fontId="5" fillId="5" borderId="1" xfId="1" applyNumberFormat="1" applyFont="1" applyFill="1" applyBorder="1" applyAlignment="1" applyProtection="1">
      <alignment horizontal="right" vertical="top"/>
      <protection locked="0"/>
    </xf>
    <xf numFmtId="2" fontId="6" fillId="5" borderId="1" xfId="1" applyNumberFormat="1" applyFont="1" applyFill="1" applyBorder="1" applyAlignment="1" applyProtection="1">
      <alignment horizontal="right" vertical="top"/>
      <protection locked="0"/>
    </xf>
    <xf numFmtId="1" fontId="5" fillId="5" borderId="1" xfId="1" applyNumberFormat="1" applyFont="1" applyFill="1" applyBorder="1" applyAlignment="1">
      <alignment horizontal="right" vertical="top"/>
    </xf>
    <xf numFmtId="0" fontId="6" fillId="4" borderId="1" xfId="1" applyFont="1" applyFill="1" applyBorder="1" applyAlignment="1">
      <alignment horizontal="left" vertical="top" wrapText="1" indent="2"/>
    </xf>
    <xf numFmtId="0" fontId="6" fillId="4" borderId="1" xfId="1" applyFont="1" applyFill="1" applyBorder="1" applyAlignment="1">
      <alignment horizontal="center" vertical="top"/>
    </xf>
    <xf numFmtId="1" fontId="6" fillId="4" borderId="1" xfId="1" applyNumberFormat="1" applyFont="1" applyFill="1" applyBorder="1" applyAlignment="1">
      <alignment horizontal="right" vertical="top"/>
    </xf>
    <xf numFmtId="2" fontId="6" fillId="4" borderId="1" xfId="1" applyNumberFormat="1" applyFont="1" applyFill="1" applyBorder="1" applyAlignment="1">
      <alignment horizontal="right" vertical="top"/>
    </xf>
    <xf numFmtId="2" fontId="5" fillId="4" borderId="1" xfId="1" applyNumberFormat="1" applyFont="1" applyFill="1" applyBorder="1" applyAlignment="1">
      <alignment horizontal="right" vertical="top"/>
    </xf>
    <xf numFmtId="2" fontId="26" fillId="4" borderId="1" xfId="1" applyNumberFormat="1" applyFont="1" applyFill="1" applyBorder="1" applyAlignment="1">
      <alignment horizontal="right" vertical="top"/>
    </xf>
    <xf numFmtId="2" fontId="29" fillId="5" borderId="1" xfId="1" applyNumberFormat="1" applyFont="1" applyFill="1" applyBorder="1" applyAlignment="1">
      <alignment horizontal="right" vertical="top"/>
    </xf>
    <xf numFmtId="1" fontId="6" fillId="5" borderId="1" xfId="2" applyNumberFormat="1" applyFont="1" applyFill="1" applyBorder="1" applyAlignment="1">
      <alignment horizontal="right" vertical="top"/>
    </xf>
    <xf numFmtId="2" fontId="6" fillId="5" borderId="1" xfId="2" applyNumberFormat="1" applyFont="1" applyFill="1" applyBorder="1" applyAlignment="1">
      <alignment horizontal="right" vertical="top"/>
    </xf>
    <xf numFmtId="0" fontId="3" fillId="0" borderId="1" xfId="1" applyFont="1" applyBorder="1" applyAlignment="1" applyProtection="1">
      <alignment horizontal="left" vertical="top" wrapText="1" indent="1"/>
      <protection locked="0"/>
    </xf>
    <xf numFmtId="0" fontId="30" fillId="5" borderId="1" xfId="1" applyFont="1" applyFill="1" applyBorder="1" applyAlignment="1" applyProtection="1">
      <alignment horizontal="left" vertical="top" wrapText="1" indent="1"/>
      <protection locked="0"/>
    </xf>
    <xf numFmtId="0" fontId="3" fillId="5" borderId="1" xfId="1" applyFont="1" applyFill="1" applyBorder="1" applyAlignment="1" applyProtection="1">
      <alignment horizontal="center" vertical="top"/>
      <protection locked="0"/>
    </xf>
    <xf numFmtId="1" fontId="3" fillId="5" borderId="1" xfId="1" applyNumberFormat="1" applyFont="1" applyFill="1" applyBorder="1" applyAlignment="1" applyProtection="1">
      <alignment horizontal="right" vertical="top"/>
      <protection locked="0"/>
    </xf>
    <xf numFmtId="2" fontId="3" fillId="5" borderId="1" xfId="1" applyNumberFormat="1" applyFont="1" applyFill="1" applyBorder="1" applyAlignment="1" applyProtection="1">
      <alignment horizontal="right" vertical="top"/>
      <protection locked="0"/>
    </xf>
    <xf numFmtId="0" fontId="3" fillId="5" borderId="1" xfId="1" applyFont="1" applyFill="1" applyBorder="1" applyAlignment="1" applyProtection="1">
      <alignment horizontal="left" vertical="top" wrapText="1" indent="1"/>
      <protection locked="0"/>
    </xf>
    <xf numFmtId="0" fontId="5" fillId="5" borderId="1" xfId="1" applyFont="1" applyFill="1" applyBorder="1" applyAlignment="1">
      <alignment horizontal="left" vertical="top" wrapText="1" indent="2"/>
    </xf>
    <xf numFmtId="0" fontId="4" fillId="5" borderId="1" xfId="1" applyFont="1" applyFill="1" applyBorder="1" applyAlignment="1" applyProtection="1">
      <alignment horizontal="left" vertical="top" wrapText="1" indent="1"/>
      <protection locked="0"/>
    </xf>
    <xf numFmtId="0" fontId="4" fillId="5" borderId="1" xfId="1" applyFont="1" applyFill="1" applyBorder="1" applyAlignment="1" applyProtection="1">
      <alignment horizontal="center" vertical="top"/>
      <protection locked="0"/>
    </xf>
    <xf numFmtId="1" fontId="6" fillId="5" borderId="1" xfId="1" applyNumberFormat="1" applyFont="1" applyFill="1" applyBorder="1" applyAlignment="1" applyProtection="1">
      <alignment horizontal="right" vertical="top"/>
      <protection locked="0"/>
    </xf>
    <xf numFmtId="0" fontId="4" fillId="5" borderId="1" xfId="1" applyFont="1" applyFill="1" applyBorder="1" applyAlignment="1">
      <alignment horizontal="center" vertical="top"/>
    </xf>
    <xf numFmtId="0" fontId="6" fillId="0" borderId="1" xfId="1" applyFont="1" applyBorder="1" applyAlignment="1" applyProtection="1">
      <alignment horizontal="left" vertical="top" wrapText="1" indent="2"/>
      <protection locked="0"/>
    </xf>
    <xf numFmtId="1" fontId="6" fillId="0" borderId="1" xfId="1" applyNumberFormat="1" applyFont="1" applyBorder="1" applyAlignment="1" applyProtection="1">
      <alignment horizontal="right" vertical="top"/>
      <protection locked="0"/>
    </xf>
    <xf numFmtId="0" fontId="6" fillId="0" borderId="1" xfId="1" applyFont="1" applyBorder="1" applyAlignment="1">
      <alignment horizontal="left" vertical="top" wrapText="1" indent="2"/>
    </xf>
    <xf numFmtId="0" fontId="7" fillId="5" borderId="1" xfId="1" applyFont="1" applyFill="1" applyBorder="1" applyAlignment="1">
      <alignment horizontal="left" vertical="top" wrapText="1" indent="2"/>
    </xf>
    <xf numFmtId="0" fontId="4" fillId="5" borderId="1" xfId="1" applyFont="1" applyFill="1" applyBorder="1" applyAlignment="1">
      <alignment horizontal="left" vertical="top" wrapText="1" indent="1"/>
    </xf>
    <xf numFmtId="2" fontId="7" fillId="5" borderId="1" xfId="1" applyNumberFormat="1" applyFont="1" applyFill="1" applyBorder="1" applyAlignment="1">
      <alignment horizontal="right" vertical="top"/>
    </xf>
    <xf numFmtId="0" fontId="7" fillId="5" borderId="1" xfId="1" applyFont="1" applyFill="1" applyBorder="1" applyAlignment="1">
      <alignment horizontal="center" vertical="top"/>
    </xf>
    <xf numFmtId="1" fontId="7" fillId="5" borderId="1" xfId="1" applyNumberFormat="1" applyFont="1" applyFill="1" applyBorder="1" applyAlignment="1">
      <alignment horizontal="right" vertical="top"/>
    </xf>
    <xf numFmtId="49" fontId="26" fillId="0" borderId="1" xfId="1" applyNumberFormat="1" applyFont="1" applyBorder="1" applyAlignment="1">
      <alignment horizontal="left" vertical="top"/>
    </xf>
    <xf numFmtId="2" fontId="26" fillId="5" borderId="1" xfId="1" applyNumberFormat="1" applyFont="1" applyFill="1" applyBorder="1" applyAlignment="1">
      <alignment horizontal="right" vertical="top"/>
    </xf>
    <xf numFmtId="2" fontId="26" fillId="0" borderId="1" xfId="1" applyNumberFormat="1" applyFont="1" applyBorder="1" applyAlignment="1">
      <alignment horizontal="right" vertical="top"/>
    </xf>
    <xf numFmtId="2" fontId="2" fillId="5" borderId="1" xfId="1" applyNumberFormat="1" applyFont="1" applyFill="1" applyBorder="1" applyAlignment="1">
      <alignment horizontal="right" vertical="top"/>
    </xf>
    <xf numFmtId="0" fontId="26" fillId="5" borderId="1" xfId="1" applyFont="1" applyFill="1" applyBorder="1" applyAlignment="1">
      <alignment horizontal="left" vertical="top" wrapText="1" indent="2"/>
    </xf>
    <xf numFmtId="0" fontId="22" fillId="5" borderId="1" xfId="1" applyFont="1" applyFill="1" applyBorder="1" applyAlignment="1">
      <alignment horizontal="left" vertical="top" wrapText="1" indent="2"/>
    </xf>
    <xf numFmtId="1" fontId="4" fillId="5" borderId="1" xfId="1" applyNumberFormat="1" applyFont="1" applyFill="1" applyBorder="1" applyAlignment="1">
      <alignment horizontal="right" vertical="top"/>
    </xf>
    <xf numFmtId="1" fontId="4" fillId="5" borderId="1" xfId="1" applyNumberFormat="1" applyFont="1" applyFill="1" applyBorder="1" applyAlignment="1" applyProtection="1">
      <alignment horizontal="right" vertical="top"/>
      <protection locked="0"/>
    </xf>
    <xf numFmtId="0" fontId="5" fillId="0" borderId="1" xfId="1" applyFont="1" applyBorder="1" applyAlignment="1" applyProtection="1">
      <alignment horizontal="left" vertical="top" wrapText="1" indent="2"/>
      <protection locked="0"/>
    </xf>
    <xf numFmtId="0" fontId="7" fillId="5" borderId="0" xfId="1" applyFont="1" applyFill="1" applyAlignment="1">
      <alignment vertical="center"/>
    </xf>
    <xf numFmtId="2" fontId="4" fillId="5" borderId="1" xfId="1" applyNumberFormat="1" applyFont="1" applyFill="1" applyBorder="1" applyAlignment="1" applyProtection="1">
      <alignment horizontal="right" vertical="top"/>
      <protection locked="0"/>
    </xf>
    <xf numFmtId="2" fontId="7" fillId="5" borderId="0" xfId="1" applyNumberFormat="1" applyFont="1" applyFill="1" applyAlignment="1">
      <alignment vertical="center"/>
    </xf>
    <xf numFmtId="2" fontId="2" fillId="5" borderId="1" xfId="1" applyNumberFormat="1" applyFont="1" applyFill="1" applyBorder="1" applyAlignment="1" applyProtection="1">
      <alignment horizontal="right" vertical="top"/>
      <protection locked="0"/>
    </xf>
    <xf numFmtId="0" fontId="32" fillId="0" borderId="1" xfId="0" applyFont="1" applyBorder="1" applyAlignment="1">
      <alignment horizontal="left" vertical="center"/>
    </xf>
    <xf numFmtId="43" fontId="33" fillId="0" borderId="1" xfId="4" applyFont="1" applyFill="1" applyBorder="1"/>
    <xf numFmtId="2" fontId="31" fillId="0" borderId="1" xfId="1" applyNumberFormat="1" applyFont="1" applyBorder="1" applyAlignment="1">
      <alignment horizontal="right" vertical="top"/>
    </xf>
    <xf numFmtId="2" fontId="7" fillId="5" borderId="1" xfId="1" applyNumberFormat="1" applyFont="1" applyFill="1" applyBorder="1" applyAlignment="1">
      <alignment horizontal="right" vertical="center"/>
    </xf>
    <xf numFmtId="0" fontId="2" fillId="4" borderId="1" xfId="1" applyFont="1" applyFill="1" applyBorder="1" applyAlignment="1" applyProtection="1">
      <alignment horizontal="left" vertical="top" wrapText="1"/>
      <protection locked="0"/>
    </xf>
    <xf numFmtId="0" fontId="2" fillId="0" borderId="1" xfId="1" quotePrefix="1" applyFont="1" applyBorder="1" applyAlignment="1" applyProtection="1">
      <alignment horizontal="left" vertical="top" wrapText="1"/>
      <protection locked="0"/>
    </xf>
    <xf numFmtId="0" fontId="2" fillId="0" borderId="1" xfId="1" applyFont="1" applyBorder="1" applyAlignment="1" applyProtection="1">
      <alignment horizontal="center" vertical="top" wrapText="1"/>
      <protection locked="0"/>
    </xf>
    <xf numFmtId="1" fontId="2" fillId="0" borderId="1" xfId="1" applyNumberFormat="1" applyFont="1" applyBorder="1" applyAlignment="1" applyProtection="1">
      <alignment horizontal="right" vertical="top" wrapText="1"/>
      <protection locked="0"/>
    </xf>
    <xf numFmtId="2" fontId="3" fillId="0" borderId="1" xfId="1" applyNumberFormat="1" applyFont="1" applyBorder="1" applyAlignment="1" applyProtection="1">
      <alignment horizontal="right" vertical="top" wrapText="1"/>
      <protection locked="0"/>
    </xf>
    <xf numFmtId="1" fontId="2" fillId="0" borderId="1" xfId="1" applyNumberFormat="1" applyFont="1" applyBorder="1" applyAlignment="1">
      <alignment horizontal="right" vertical="top" wrapText="1"/>
    </xf>
    <xf numFmtId="2" fontId="2" fillId="0" borderId="1" xfId="1" applyNumberFormat="1" applyFont="1" applyBorder="1" applyAlignment="1">
      <alignment horizontal="right" vertical="top" wrapText="1"/>
    </xf>
    <xf numFmtId="0" fontId="2" fillId="5" borderId="1" xfId="1" applyFont="1" applyFill="1" applyBorder="1" applyAlignment="1">
      <alignment horizontal="left" vertical="top" wrapText="1" indent="1"/>
    </xf>
    <xf numFmtId="0" fontId="2" fillId="5" borderId="1" xfId="1" applyFont="1" applyFill="1" applyBorder="1" applyAlignment="1">
      <alignment horizontal="center" vertical="top"/>
    </xf>
    <xf numFmtId="1" fontId="2" fillId="5" borderId="1" xfId="1" applyNumberFormat="1" applyFont="1" applyFill="1" applyBorder="1" applyAlignment="1">
      <alignment horizontal="right" vertical="top"/>
    </xf>
    <xf numFmtId="0" fontId="2" fillId="5" borderId="1" xfId="1" applyFont="1" applyFill="1" applyBorder="1" applyAlignment="1" applyProtection="1">
      <alignment horizontal="left" vertical="top" wrapText="1" indent="1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1" fontId="2" fillId="5" borderId="1" xfId="1" applyNumberFormat="1" applyFont="1" applyFill="1" applyBorder="1" applyAlignment="1" applyProtection="1">
      <alignment horizontal="right" vertical="top"/>
      <protection locked="0"/>
    </xf>
    <xf numFmtId="0" fontId="22" fillId="0" borderId="1" xfId="1" applyFont="1" applyBorder="1" applyAlignment="1" applyProtection="1">
      <alignment horizontal="left" vertical="top" wrapText="1" indent="1"/>
      <protection locked="0"/>
    </xf>
    <xf numFmtId="2" fontId="4" fillId="0" borderId="1" xfId="1" applyNumberFormat="1" applyFont="1" applyBorder="1" applyAlignment="1" applyProtection="1">
      <alignment horizontal="right" vertical="top"/>
      <protection locked="0"/>
    </xf>
    <xf numFmtId="0" fontId="5" fillId="0" borderId="1" xfId="2" applyFont="1" applyBorder="1" applyAlignment="1">
      <alignment horizontal="center" vertical="top"/>
    </xf>
    <xf numFmtId="1" fontId="5" fillId="0" borderId="1" xfId="2" applyNumberFormat="1" applyFont="1" applyBorder="1" applyAlignment="1">
      <alignment horizontal="right" vertical="top"/>
    </xf>
    <xf numFmtId="2" fontId="6" fillId="0" borderId="1" xfId="2" applyNumberFormat="1" applyFont="1" applyBorder="1" applyAlignment="1">
      <alignment horizontal="right" vertical="top"/>
    </xf>
    <xf numFmtId="2" fontId="3" fillId="0" borderId="1" xfId="2" applyNumberFormat="1" applyFont="1" applyBorder="1" applyAlignment="1">
      <alignment horizontal="right" vertical="top"/>
    </xf>
    <xf numFmtId="2" fontId="5" fillId="0" borderId="1" xfId="2" applyNumberFormat="1" applyFont="1" applyBorder="1" applyAlignment="1">
      <alignment horizontal="right" vertical="top"/>
    </xf>
    <xf numFmtId="0" fontId="34" fillId="0" borderId="1" xfId="1" quotePrefix="1" applyFont="1" applyBorder="1" applyAlignment="1" applyProtection="1">
      <alignment horizontal="left" vertical="top"/>
      <protection locked="0"/>
    </xf>
    <xf numFmtId="0" fontId="35" fillId="0" borderId="1" xfId="1" applyFont="1" applyBorder="1" applyAlignment="1" applyProtection="1">
      <alignment horizontal="center" vertical="top"/>
      <protection locked="0"/>
    </xf>
    <xf numFmtId="1" fontId="35" fillId="0" borderId="1" xfId="1" applyNumberFormat="1" applyFont="1" applyBorder="1" applyAlignment="1" applyProtection="1">
      <alignment horizontal="right" vertical="top"/>
      <protection locked="0"/>
    </xf>
    <xf numFmtId="2" fontId="35" fillId="0" borderId="1" xfId="1" applyNumberFormat="1" applyFont="1" applyBorder="1" applyAlignment="1" applyProtection="1">
      <alignment horizontal="right" vertical="top"/>
      <protection locked="0"/>
    </xf>
    <xf numFmtId="1" fontId="34" fillId="0" borderId="1" xfId="1" applyNumberFormat="1" applyFont="1" applyBorder="1" applyAlignment="1">
      <alignment horizontal="right" vertical="top"/>
    </xf>
    <xf numFmtId="2" fontId="34" fillId="0" borderId="1" xfId="1" applyNumberFormat="1" applyFont="1" applyBorder="1" applyAlignment="1">
      <alignment horizontal="right" vertical="top"/>
    </xf>
    <xf numFmtId="0" fontId="6" fillId="5" borderId="1" xfId="2" applyFont="1" applyFill="1" applyBorder="1" applyAlignment="1">
      <alignment horizontal="center" vertical="top"/>
    </xf>
    <xf numFmtId="2" fontId="6" fillId="5" borderId="19" xfId="2" applyNumberFormat="1" applyFont="1" applyFill="1" applyBorder="1" applyAlignment="1">
      <alignment horizontal="right" vertical="top"/>
    </xf>
    <xf numFmtId="0" fontId="22" fillId="5" borderId="1" xfId="1" applyFont="1" applyFill="1" applyBorder="1" applyAlignment="1">
      <alignment horizontal="left" vertical="top" wrapText="1" indent="1"/>
    </xf>
    <xf numFmtId="0" fontId="5" fillId="5" borderId="1" xfId="2" applyFont="1" applyFill="1" applyBorder="1" applyAlignment="1">
      <alignment horizontal="center" vertical="top"/>
    </xf>
    <xf numFmtId="1" fontId="5" fillId="5" borderId="1" xfId="2" applyNumberFormat="1" applyFont="1" applyFill="1" applyBorder="1" applyAlignment="1">
      <alignment horizontal="right" vertical="top"/>
    </xf>
    <xf numFmtId="2" fontId="3" fillId="5" borderId="1" xfId="2" applyNumberFormat="1" applyFont="1" applyFill="1" applyBorder="1" applyAlignment="1">
      <alignment horizontal="right" vertical="top"/>
    </xf>
    <xf numFmtId="2" fontId="5" fillId="5" borderId="1" xfId="2" applyNumberFormat="1" applyFont="1" applyFill="1" applyBorder="1" applyAlignment="1">
      <alignment horizontal="right" vertical="top"/>
    </xf>
    <xf numFmtId="0" fontId="35" fillId="5" borderId="1" xfId="1" applyFont="1" applyFill="1" applyBorder="1" applyAlignment="1" applyProtection="1">
      <alignment horizontal="center" vertical="top"/>
      <protection locked="0"/>
    </xf>
    <xf numFmtId="1" fontId="35" fillId="5" borderId="1" xfId="1" applyNumberFormat="1" applyFont="1" applyFill="1" applyBorder="1" applyAlignment="1" applyProtection="1">
      <alignment horizontal="right" vertical="top"/>
      <protection locked="0"/>
    </xf>
    <xf numFmtId="2" fontId="35" fillId="5" borderId="1" xfId="1" applyNumberFormat="1" applyFont="1" applyFill="1" applyBorder="1" applyAlignment="1" applyProtection="1">
      <alignment horizontal="right" vertical="top"/>
      <protection locked="0"/>
    </xf>
    <xf numFmtId="1" fontId="34" fillId="5" borderId="1" xfId="1" applyNumberFormat="1" applyFont="1" applyFill="1" applyBorder="1" applyAlignment="1">
      <alignment horizontal="right" vertical="top"/>
    </xf>
    <xf numFmtId="2" fontId="34" fillId="5" borderId="1" xfId="1" applyNumberFormat="1" applyFont="1" applyFill="1" applyBorder="1" applyAlignment="1">
      <alignment horizontal="right" vertical="top"/>
    </xf>
    <xf numFmtId="49" fontId="5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 wrapText="1" indent="2"/>
    </xf>
    <xf numFmtId="0" fontId="6" fillId="0" borderId="0" xfId="1" applyFont="1" applyAlignment="1">
      <alignment horizontal="center" vertical="top"/>
    </xf>
    <xf numFmtId="1" fontId="6" fillId="0" borderId="0" xfId="1" applyNumberFormat="1" applyFont="1" applyAlignment="1">
      <alignment horizontal="right" vertical="top"/>
    </xf>
    <xf numFmtId="2" fontId="6" fillId="0" borderId="0" xfId="1" applyNumberFormat="1" applyFont="1" applyAlignment="1">
      <alignment horizontal="right" vertical="top"/>
    </xf>
    <xf numFmtId="2" fontId="5" fillId="0" borderId="0" xfId="1" applyNumberFormat="1" applyFont="1" applyAlignment="1">
      <alignment horizontal="right" vertical="top"/>
    </xf>
    <xf numFmtId="0" fontId="4" fillId="4" borderId="1" xfId="1" quotePrefix="1" applyFont="1" applyFill="1" applyBorder="1" applyAlignment="1" applyProtection="1">
      <alignment horizontal="left" vertical="top"/>
      <protection locked="0"/>
    </xf>
    <xf numFmtId="0" fontId="25" fillId="5" borderId="1" xfId="1" applyFont="1" applyFill="1" applyBorder="1" applyAlignment="1">
      <alignment horizontal="left" vertical="top" wrapText="1" indent="2"/>
    </xf>
    <xf numFmtId="0" fontId="7" fillId="5" borderId="1" xfId="1" applyFont="1" applyFill="1" applyBorder="1" applyAlignment="1">
      <alignment vertical="center"/>
    </xf>
    <xf numFmtId="2" fontId="6" fillId="5" borderId="1" xfId="2" applyNumberFormat="1" applyFont="1" applyFill="1" applyBorder="1" applyAlignment="1" applyProtection="1">
      <alignment horizontal="right" vertical="top"/>
      <protection locked="0"/>
    </xf>
    <xf numFmtId="2" fontId="7" fillId="5" borderId="1" xfId="2" applyNumberFormat="1" applyFont="1" applyFill="1" applyBorder="1" applyAlignment="1">
      <alignment horizontal="right" vertical="top"/>
    </xf>
    <xf numFmtId="2" fontId="7" fillId="5" borderId="1" xfId="2" applyNumberFormat="1" applyFont="1" applyFill="1" applyBorder="1" applyAlignment="1" applyProtection="1">
      <alignment horizontal="right" vertical="top"/>
      <protection locked="0"/>
    </xf>
    <xf numFmtId="2" fontId="36" fillId="5" borderId="1" xfId="1" applyNumberFormat="1" applyFont="1" applyFill="1" applyBorder="1" applyAlignment="1">
      <alignment horizontal="right" vertical="top"/>
    </xf>
    <xf numFmtId="2" fontId="36" fillId="0" borderId="1" xfId="1" applyNumberFormat="1" applyFont="1" applyBorder="1" applyAlignment="1">
      <alignment horizontal="right" vertical="top"/>
    </xf>
    <xf numFmtId="0" fontId="6" fillId="0" borderId="1" xfId="2" applyFont="1" applyBorder="1" applyAlignment="1">
      <alignment horizontal="center" vertical="top"/>
    </xf>
    <xf numFmtId="1" fontId="6" fillId="0" borderId="1" xfId="2" applyNumberFormat="1" applyFont="1" applyBorder="1" applyAlignment="1">
      <alignment horizontal="right" vertical="top"/>
    </xf>
    <xf numFmtId="2" fontId="6" fillId="0" borderId="19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center" vertical="top"/>
    </xf>
    <xf numFmtId="1" fontId="3" fillId="0" borderId="1" xfId="2" applyNumberFormat="1" applyFont="1" applyBorder="1" applyAlignment="1">
      <alignment horizontal="right" vertical="top"/>
    </xf>
    <xf numFmtId="1" fontId="4" fillId="0" borderId="1" xfId="2" applyNumberFormat="1" applyFont="1" applyBorder="1" applyAlignment="1">
      <alignment horizontal="right" vertical="top"/>
    </xf>
    <xf numFmtId="2" fontId="4" fillId="0" borderId="1" xfId="2" applyNumberFormat="1" applyFont="1" applyBorder="1" applyAlignment="1">
      <alignment horizontal="right" vertical="top"/>
    </xf>
    <xf numFmtId="0" fontId="5" fillId="5" borderId="1" xfId="2" applyFont="1" applyFill="1" applyBorder="1" applyAlignment="1">
      <alignment horizontal="left" vertical="top" wrapText="1" indent="2"/>
    </xf>
    <xf numFmtId="2" fontId="37" fillId="5" borderId="1" xfId="2" applyNumberFormat="1" applyFont="1" applyFill="1" applyBorder="1" applyAlignment="1">
      <alignment horizontal="center" vertical="center"/>
    </xf>
    <xf numFmtId="1" fontId="7" fillId="5" borderId="20" xfId="2" applyNumberFormat="1" applyFont="1" applyFill="1" applyBorder="1" applyAlignment="1" applyProtection="1">
      <alignment horizontal="right" vertical="top"/>
      <protection locked="0"/>
    </xf>
    <xf numFmtId="2" fontId="7" fillId="5" borderId="21" xfId="2" applyNumberFormat="1" applyFont="1" applyFill="1" applyBorder="1" applyAlignment="1">
      <alignment horizontal="right" vertical="top"/>
    </xf>
    <xf numFmtId="2" fontId="7" fillId="5" borderId="20" xfId="2" applyNumberFormat="1" applyFont="1" applyFill="1" applyBorder="1" applyAlignment="1">
      <alignment horizontal="right" vertical="top"/>
    </xf>
    <xf numFmtId="1" fontId="7" fillId="5" borderId="21" xfId="2" applyNumberFormat="1" applyFont="1" applyFill="1" applyBorder="1" applyAlignment="1">
      <alignment horizontal="right" vertical="top"/>
    </xf>
    <xf numFmtId="0" fontId="25" fillId="0" borderId="1" xfId="1" applyFont="1" applyBorder="1" applyAlignment="1">
      <alignment horizontal="left" vertical="top" wrapText="1" indent="2"/>
    </xf>
    <xf numFmtId="0" fontId="7" fillId="0" borderId="1" xfId="1" applyFont="1" applyBorder="1" applyAlignment="1">
      <alignment vertical="center"/>
    </xf>
    <xf numFmtId="2" fontId="6" fillId="4" borderId="1" xfId="1" applyNumberFormat="1" applyFont="1" applyFill="1" applyBorder="1" applyAlignment="1" applyProtection="1">
      <alignment horizontal="right" vertical="top"/>
      <protection locked="0"/>
    </xf>
    <xf numFmtId="2" fontId="7" fillId="0" borderId="1" xfId="1" applyNumberFormat="1" applyFont="1" applyBorder="1" applyAlignment="1">
      <alignment horizontal="right" vertical="center"/>
    </xf>
    <xf numFmtId="2" fontId="5" fillId="5" borderId="0" xfId="1" applyNumberFormat="1" applyFont="1" applyFill="1" applyAlignment="1">
      <alignment horizontal="right" vertical="top"/>
    </xf>
    <xf numFmtId="49" fontId="39" fillId="0" borderId="0" xfId="0" applyNumberFormat="1" applyFont="1" applyAlignment="1">
      <alignment horizontal="left" vertical="center"/>
    </xf>
    <xf numFmtId="49" fontId="4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49" fontId="39" fillId="0" borderId="0" xfId="0" applyNumberFormat="1" applyFont="1" applyAlignment="1">
      <alignment horizontal="left"/>
    </xf>
    <xf numFmtId="165" fontId="39" fillId="0" borderId="0" xfId="0" applyNumberFormat="1" applyFont="1"/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1" xfId="0" applyFont="1" applyBorder="1"/>
    <xf numFmtId="0" fontId="33" fillId="0" borderId="1" xfId="0" applyFont="1" applyBorder="1" applyAlignment="1">
      <alignment horizontal="center"/>
    </xf>
    <xf numFmtId="0" fontId="43" fillId="0" borderId="1" xfId="0" applyFont="1" applyBorder="1"/>
    <xf numFmtId="43" fontId="43" fillId="0" borderId="1" xfId="4" applyFont="1" applyFill="1" applyBorder="1"/>
    <xf numFmtId="0" fontId="43" fillId="0" borderId="0" xfId="0" applyFont="1"/>
    <xf numFmtId="49" fontId="44" fillId="0" borderId="1" xfId="0" applyNumberFormat="1" applyFont="1" applyBorder="1" applyAlignment="1">
      <alignment horizontal="left" vertical="center"/>
    </xf>
    <xf numFmtId="0" fontId="44" fillId="0" borderId="1" xfId="0" applyFont="1" applyBorder="1" applyAlignment="1">
      <alignment horizontal="left" indent="1"/>
    </xf>
    <xf numFmtId="0" fontId="33" fillId="0" borderId="1" xfId="0" applyFont="1" applyBorder="1" applyAlignment="1">
      <alignment horizontal="left" vertical="center"/>
    </xf>
    <xf numFmtId="2" fontId="37" fillId="0" borderId="1" xfId="1" applyNumberFormat="1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43" fontId="33" fillId="0" borderId="0" xfId="4" applyFont="1" applyFill="1"/>
    <xf numFmtId="0" fontId="43" fillId="0" borderId="0" xfId="0" applyFont="1" applyAlignment="1">
      <alignment horizontal="center"/>
    </xf>
    <xf numFmtId="43" fontId="43" fillId="0" borderId="0" xfId="4" applyFont="1" applyFill="1"/>
    <xf numFmtId="43" fontId="0" fillId="0" borderId="0" xfId="4" applyFont="1" applyFill="1"/>
    <xf numFmtId="0" fontId="2" fillId="3" borderId="17" xfId="1" applyFont="1" applyFill="1" applyBorder="1" applyAlignment="1">
      <alignment horizontal="center" vertical="center"/>
    </xf>
    <xf numFmtId="0" fontId="45" fillId="0" borderId="1" xfId="0" applyFont="1" applyFill="1" applyBorder="1" applyAlignment="1" applyProtection="1">
      <alignment horizontal="left" vertical="center" indent="3"/>
      <protection locked="0"/>
    </xf>
    <xf numFmtId="0" fontId="18" fillId="0" borderId="1" xfId="5" applyFont="1" applyBorder="1" applyAlignment="1" applyProtection="1">
      <alignment horizontal="left" vertical="top" wrapText="1"/>
      <protection locked="0"/>
    </xf>
    <xf numFmtId="0" fontId="19" fillId="0" borderId="1" xfId="5" applyFont="1" applyBorder="1" applyAlignment="1" applyProtection="1">
      <alignment horizontal="center" vertical="top"/>
      <protection locked="0"/>
    </xf>
    <xf numFmtId="1" fontId="18" fillId="0" borderId="1" xfId="1" applyNumberFormat="1" applyFont="1" applyBorder="1" applyAlignment="1">
      <alignment horizontal="right" vertical="top"/>
    </xf>
    <xf numFmtId="1" fontId="17" fillId="0" borderId="1" xfId="1" applyNumberFormat="1" applyFont="1" applyBorder="1" applyAlignment="1">
      <alignment horizontal="right" vertical="top"/>
    </xf>
    <xf numFmtId="0" fontId="6" fillId="0" borderId="1" xfId="2" applyFont="1" applyBorder="1" applyAlignment="1">
      <alignment horizontal="left" vertical="top" wrapText="1"/>
    </xf>
    <xf numFmtId="2" fontId="6" fillId="0" borderId="1" xfId="2" applyNumberFormat="1" applyFont="1" applyBorder="1" applyAlignment="1" applyProtection="1">
      <alignment horizontal="right" vertical="top"/>
      <protection locked="0"/>
    </xf>
    <xf numFmtId="2" fontId="7" fillId="0" borderId="1" xfId="2" applyNumberFormat="1" applyFont="1" applyBorder="1" applyAlignment="1">
      <alignment horizontal="right" vertical="top"/>
    </xf>
    <xf numFmtId="1" fontId="20" fillId="0" borderId="1" xfId="1" applyNumberFormat="1" applyFont="1" applyBorder="1" applyAlignment="1">
      <alignment horizontal="right" vertical="top"/>
    </xf>
    <xf numFmtId="0" fontId="5" fillId="2" borderId="1" xfId="2" applyFont="1" applyFill="1" applyBorder="1" applyAlignment="1" applyProtection="1">
      <alignment horizontal="left" vertical="top" wrapText="1" indent="2"/>
      <protection locked="0"/>
    </xf>
    <xf numFmtId="0" fontId="5" fillId="2" borderId="1" xfId="2" applyFont="1" applyFill="1" applyBorder="1" applyAlignment="1">
      <alignment horizontal="center" vertical="top"/>
    </xf>
    <xf numFmtId="1" fontId="5" fillId="2" borderId="1" xfId="2" applyNumberFormat="1" applyFont="1" applyFill="1" applyBorder="1" applyAlignment="1" applyProtection="1">
      <alignment horizontal="right" vertical="top"/>
      <protection locked="0"/>
    </xf>
    <xf numFmtId="2" fontId="6" fillId="2" borderId="1" xfId="2" applyNumberFormat="1" applyFont="1" applyFill="1" applyBorder="1" applyAlignment="1" applyProtection="1">
      <alignment horizontal="right" vertical="top"/>
      <protection locked="0"/>
    </xf>
    <xf numFmtId="1" fontId="5" fillId="2" borderId="1" xfId="2" applyNumberFormat="1" applyFont="1" applyFill="1" applyBorder="1" applyAlignment="1">
      <alignment horizontal="right" vertical="top"/>
    </xf>
    <xf numFmtId="2" fontId="5" fillId="2" borderId="1" xfId="2" applyNumberFormat="1" applyFont="1" applyFill="1" applyBorder="1" applyAlignment="1">
      <alignment horizontal="right" vertical="top"/>
    </xf>
    <xf numFmtId="49" fontId="4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 wrapText="1" indent="1"/>
    </xf>
    <xf numFmtId="0" fontId="3" fillId="0" borderId="0" xfId="1" applyFont="1" applyAlignment="1">
      <alignment horizontal="center" vertical="top"/>
    </xf>
    <xf numFmtId="1" fontId="3" fillId="0" borderId="0" xfId="1" applyNumberFormat="1" applyFont="1" applyAlignment="1">
      <alignment horizontal="right" vertical="top"/>
    </xf>
    <xf numFmtId="2" fontId="3" fillId="0" borderId="0" xfId="1" applyNumberFormat="1" applyFont="1" applyAlignment="1">
      <alignment horizontal="right" vertical="top"/>
    </xf>
    <xf numFmtId="2" fontId="4" fillId="0" borderId="0" xfId="1" applyNumberFormat="1" applyFont="1" applyAlignment="1">
      <alignment horizontal="right" vertical="top"/>
    </xf>
    <xf numFmtId="0" fontId="6" fillId="2" borderId="1" xfId="2" applyFont="1" applyFill="1" applyBorder="1" applyAlignment="1">
      <alignment horizontal="center" vertical="top"/>
    </xf>
    <xf numFmtId="1" fontId="6" fillId="2" borderId="1" xfId="2" applyNumberFormat="1" applyFont="1" applyFill="1" applyBorder="1" applyAlignment="1">
      <alignment horizontal="right" vertical="top"/>
    </xf>
    <xf numFmtId="2" fontId="6" fillId="2" borderId="1" xfId="2" applyNumberFormat="1" applyFont="1" applyFill="1" applyBorder="1" applyAlignment="1">
      <alignment horizontal="right" vertical="top"/>
    </xf>
    <xf numFmtId="2" fontId="6" fillId="2" borderId="19" xfId="2" applyNumberFormat="1" applyFont="1" applyFill="1" applyBorder="1" applyAlignment="1">
      <alignment horizontal="right" vertical="top"/>
    </xf>
    <xf numFmtId="0" fontId="5" fillId="0" borderId="1" xfId="2" applyFont="1" applyBorder="1" applyAlignment="1" applyProtection="1">
      <alignment horizontal="left" vertical="top" wrapText="1" indent="2"/>
      <protection locked="0"/>
    </xf>
    <xf numFmtId="1" fontId="5" fillId="0" borderId="1" xfId="2" applyNumberFormat="1" applyFont="1" applyBorder="1" applyAlignment="1" applyProtection="1">
      <alignment horizontal="right" vertical="top"/>
      <protection locked="0"/>
    </xf>
    <xf numFmtId="2" fontId="29" fillId="2" borderId="1" xfId="1" applyNumberFormat="1" applyFont="1" applyFill="1" applyBorder="1" applyAlignment="1">
      <alignment horizontal="right" vertical="top"/>
    </xf>
    <xf numFmtId="43" fontId="33" fillId="0" borderId="1" xfId="3" applyFont="1" applyFill="1" applyBorder="1"/>
    <xf numFmtId="2" fontId="3" fillId="0" borderId="0" xfId="1" applyNumberFormat="1" applyFont="1" applyAlignment="1" applyProtection="1">
      <alignment horizontal="right" vertical="top"/>
      <protection locked="0"/>
    </xf>
    <xf numFmtId="2" fontId="4" fillId="0" borderId="0" xfId="1" applyNumberFormat="1" applyFont="1" applyAlignment="1" applyProtection="1">
      <alignment horizontal="right" vertical="top"/>
      <protection locked="0"/>
    </xf>
    <xf numFmtId="1" fontId="5" fillId="0" borderId="0" xfId="1" applyNumberFormat="1" applyFont="1" applyAlignment="1">
      <alignment horizontal="right" vertical="top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6" fillId="0" borderId="0" xfId="1" applyFont="1" applyAlignment="1">
      <alignment horizontal="left" vertical="top" wrapText="1" indent="1"/>
    </xf>
    <xf numFmtId="0" fontId="16" fillId="0" borderId="9" xfId="1" applyFont="1" applyBorder="1" applyAlignment="1">
      <alignment horizontal="left" vertical="top" wrapText="1" indent="1"/>
    </xf>
    <xf numFmtId="0" fontId="2" fillId="3" borderId="13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 textRotation="90"/>
    </xf>
    <xf numFmtId="0" fontId="2" fillId="3" borderId="17" xfId="1" applyFont="1" applyFill="1" applyBorder="1" applyAlignment="1">
      <alignment horizontal="center" vertical="center" textRotation="90"/>
    </xf>
    <xf numFmtId="0" fontId="2" fillId="3" borderId="14" xfId="1" applyFont="1" applyFill="1" applyBorder="1" applyAlignment="1">
      <alignment horizontal="center" vertical="center" textRotation="90" wrapText="1"/>
    </xf>
    <xf numFmtId="0" fontId="2" fillId="3" borderId="17" xfId="1" applyFont="1" applyFill="1" applyBorder="1" applyAlignment="1">
      <alignment horizontal="center" vertical="center" textRotation="90" wrapText="1"/>
    </xf>
    <xf numFmtId="2" fontId="2" fillId="3" borderId="14" xfId="1" applyNumberFormat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</cellXfs>
  <cellStyles count="6">
    <cellStyle name="Millares" xfId="4" builtinId="3"/>
    <cellStyle name="Millares 2" xfId="3" xr:uid="{0D4DF3BA-02C7-49DE-9A4B-43A22F377B7C}"/>
    <cellStyle name="Normal" xfId="0" builtinId="0"/>
    <cellStyle name="Normal 2" xfId="1" xr:uid="{D2629B30-1EEF-4501-9B96-BAC075A73280}"/>
    <cellStyle name="Normal 2 2" xfId="2" xr:uid="{D4EA705E-1C63-451D-A313-59CE6FF47375}"/>
    <cellStyle name="Normal 3" xfId="5" xr:uid="{A152BDE2-9F9F-4066-81A2-46D021F3A8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</xdr:col>
      <xdr:colOff>254000</xdr:colOff>
      <xdr:row>13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70878B32-B841-4026-96AF-AAAF0DFAAB5B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254000</xdr:colOff>
      <xdr:row>13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92039573-8602-4AD1-B65C-B6F0C23E8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2182DA27-C21B-483E-BC8F-A3668BA74284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A12DE2FD-F97B-4A05-A410-58D0BE86C5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F68B1C83-A927-4B9D-88E1-626223A165B7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78E9FD87-52C9-46AE-9611-AB61973989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5E4D4A66-6992-496F-9146-12BC6DBB3BBE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77551193-1F79-4132-8F9C-D5F68A25FB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D3FDF17E-B767-4F35-8BB0-96D343E9EB55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90631E7A-1077-4931-9BCD-0F02CF34BA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7F6C22CF-566E-4A56-95ED-53165B7A30B0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6AE35624-837E-42FF-9139-9BB29C0B52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57149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458AF120-4B7F-4F33-892D-B6C543D02804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57149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9E9156B6-7089-4007-AB46-FD700F18A1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C85E0863-2C80-4D38-99FB-84FE46740D88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2</xdr:col>
      <xdr:colOff>152400</xdr:colOff>
      <xdr:row>13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1E7B59E8-61BB-4A7D-BBFE-EECB4A7285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5B79B43E-BFC5-44A5-A6FA-710554C97AF5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7BF78B59-5D61-497D-BFD6-12715DBA0F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6FDE4BD4-4F48-4795-B483-0D7267A34CE2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1608838E-B910-4340-8399-4B2D06D5BD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576BDBE3-D4F3-4301-AC59-9C0E765DFAC8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44CCB819-FF0C-47DD-8798-FF8164143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DC046193-2ED9-4123-BEE8-E2327274245D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24AE6DD8-AAAC-4322-95EC-112134BF58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E31FE6D9-3238-434C-B76C-AF84ECEC1718}"/>
            </a:ext>
          </a:extLst>
        </xdr:cNvPr>
        <xdr:cNvSpPr/>
      </xdr:nvSpPr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152400</xdr:colOff>
      <xdr:row>14</xdr:row>
      <xdr:rowOff>57150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B83BA2E4-DF8C-49E9-9757-ACB87F48A3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247650" cy="247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94C4-483F-490B-8888-C9C47B37BDE6}">
  <dimension ref="A1:U624"/>
  <sheetViews>
    <sheetView view="pageBreakPreview" topLeftCell="B553" zoomScale="115" zoomScaleNormal="130" zoomScaleSheetLayoutView="115" workbookViewId="0">
      <selection activeCell="C628" sqref="C628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3.109375" style="8" customWidth="1"/>
    <col min="3" max="3" width="47.33203125" style="9" customWidth="1"/>
    <col min="4" max="4" width="3.33203125" style="10" bestFit="1" customWidth="1"/>
    <col min="5" max="5" width="3.88671875" style="10" customWidth="1"/>
    <col min="6" max="6" width="6.5546875" style="11" customWidth="1"/>
    <col min="7" max="8" width="5.5546875" style="11" customWidth="1"/>
    <col min="9" max="9" width="3.88671875" style="12" customWidth="1"/>
    <col min="10" max="11" width="6.5546875" style="13" customWidth="1"/>
    <col min="12" max="13" width="6.5546875" style="11" customWidth="1"/>
    <col min="14" max="14" width="6.5546875" style="8" customWidth="1"/>
    <col min="15" max="15" width="7.88671875" style="97" bestFit="1" customWidth="1"/>
    <col min="16" max="16" width="0.88671875" style="8" customWidth="1"/>
    <col min="17" max="17" width="3.109375" style="8" customWidth="1"/>
    <col min="18" max="20" width="5" style="8" customWidth="1"/>
    <col min="21" max="21" width="3.88671875" style="8" bestFit="1" customWidth="1"/>
    <col min="22" max="22" width="5" style="8" customWidth="1"/>
    <col min="23" max="16384" width="11.44140625" style="8"/>
  </cols>
  <sheetData>
    <row r="1" spans="1:21" s="17" customFormat="1" ht="6" thickBot="1" x14ac:dyDescent="0.35">
      <c r="C1" s="18"/>
      <c r="D1" s="19"/>
      <c r="E1" s="19"/>
      <c r="F1" s="20"/>
      <c r="G1" s="20"/>
      <c r="H1" s="20"/>
      <c r="I1" s="21"/>
      <c r="J1" s="22"/>
      <c r="K1" s="22"/>
      <c r="L1" s="20"/>
      <c r="M1" s="20"/>
      <c r="O1" s="23"/>
      <c r="R1" s="24"/>
      <c r="S1" s="25"/>
      <c r="T1" s="25"/>
      <c r="U1" s="25"/>
    </row>
    <row r="2" spans="1:21" ht="23.25" customHeight="1" thickBot="1" x14ac:dyDescent="0.35">
      <c r="B2" s="417" t="s">
        <v>1122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9"/>
      <c r="R2" s="15"/>
      <c r="S2" s="16"/>
      <c r="T2" s="16"/>
      <c r="U2" s="16"/>
    </row>
    <row r="3" spans="1:21" s="17" customFormat="1" ht="6" thickBot="1" x14ac:dyDescent="0.35">
      <c r="B3" s="23"/>
      <c r="C3" s="26"/>
      <c r="D3" s="19"/>
      <c r="E3" s="19"/>
      <c r="F3" s="27"/>
      <c r="G3" s="27"/>
      <c r="H3" s="27"/>
      <c r="I3" s="19"/>
      <c r="J3" s="28"/>
      <c r="K3" s="28"/>
      <c r="L3" s="27"/>
      <c r="M3" s="27"/>
      <c r="N3" s="19"/>
      <c r="O3" s="29"/>
      <c r="R3" s="24"/>
      <c r="S3" s="25"/>
      <c r="T3" s="25"/>
      <c r="U3" s="25"/>
    </row>
    <row r="4" spans="1:21" s="17" customFormat="1" ht="5.4" x14ac:dyDescent="0.3">
      <c r="B4" s="30"/>
      <c r="C4" s="31"/>
      <c r="D4" s="32"/>
      <c r="E4" s="32"/>
      <c r="F4" s="33"/>
      <c r="G4" s="33"/>
      <c r="H4" s="33"/>
      <c r="I4" s="34"/>
      <c r="J4" s="35"/>
      <c r="K4" s="35"/>
      <c r="L4" s="33"/>
      <c r="M4" s="33"/>
      <c r="N4" s="36"/>
      <c r="O4" s="37"/>
      <c r="R4" s="24"/>
      <c r="S4" s="25"/>
      <c r="T4" s="25"/>
      <c r="U4" s="25"/>
    </row>
    <row r="5" spans="1:21" ht="12.75" customHeight="1" x14ac:dyDescent="0.3">
      <c r="B5" s="38" t="s">
        <v>2</v>
      </c>
      <c r="C5" s="420" t="s">
        <v>3</v>
      </c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1"/>
      <c r="R5" s="15"/>
      <c r="S5" s="16"/>
      <c r="T5" s="16"/>
      <c r="U5" s="16"/>
    </row>
    <row r="6" spans="1:21" ht="14.25" customHeight="1" x14ac:dyDescent="0.3">
      <c r="B6" s="38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1"/>
    </row>
    <row r="7" spans="1:21" x14ac:dyDescent="0.3">
      <c r="B7" s="38" t="s">
        <v>4</v>
      </c>
      <c r="C7" s="39" t="s">
        <v>5</v>
      </c>
      <c r="D7" s="40"/>
      <c r="E7" s="40"/>
      <c r="F7" s="41"/>
      <c r="G7" s="41"/>
      <c r="H7" s="42"/>
      <c r="I7" s="40"/>
      <c r="J7" s="43"/>
      <c r="K7" s="41" t="s">
        <v>6</v>
      </c>
      <c r="L7" s="44" t="s">
        <v>7</v>
      </c>
      <c r="M7" s="42"/>
      <c r="N7" s="39"/>
      <c r="O7" s="45"/>
    </row>
    <row r="8" spans="1:21" x14ac:dyDescent="0.3">
      <c r="B8" s="38" t="s">
        <v>8</v>
      </c>
      <c r="C8" s="46">
        <v>44608</v>
      </c>
      <c r="D8" s="47"/>
      <c r="E8" s="47"/>
      <c r="F8" s="41"/>
      <c r="G8" s="41"/>
      <c r="H8" s="48"/>
      <c r="I8" s="49"/>
      <c r="J8" s="48"/>
      <c r="K8" s="41" t="s">
        <v>9</v>
      </c>
      <c r="L8" s="44"/>
      <c r="M8" s="50"/>
      <c r="N8" s="51"/>
      <c r="O8" s="45"/>
    </row>
    <row r="9" spans="1:21" x14ac:dyDescent="0.3">
      <c r="B9" s="38" t="s">
        <v>10</v>
      </c>
      <c r="C9" s="52" t="s">
        <v>11</v>
      </c>
      <c r="D9" s="40"/>
      <c r="E9" s="40"/>
      <c r="F9" s="43"/>
      <c r="G9" s="43"/>
      <c r="H9" s="43"/>
      <c r="I9" s="40"/>
      <c r="J9" s="43"/>
      <c r="K9" s="50"/>
      <c r="L9" s="50"/>
      <c r="M9" s="50"/>
      <c r="N9" s="51"/>
      <c r="O9" s="45"/>
    </row>
    <row r="10" spans="1:21" x14ac:dyDescent="0.3">
      <c r="B10" s="38" t="s">
        <v>12</v>
      </c>
      <c r="C10" s="39" t="s">
        <v>1121</v>
      </c>
      <c r="D10" s="40"/>
      <c r="E10" s="40"/>
      <c r="F10" s="43"/>
      <c r="G10" s="43"/>
      <c r="H10" s="43"/>
      <c r="I10" s="40"/>
      <c r="J10" s="43"/>
      <c r="K10" s="50"/>
      <c r="L10" s="50"/>
      <c r="M10" s="53"/>
      <c r="N10" s="47"/>
      <c r="O10" s="45"/>
    </row>
    <row r="11" spans="1:21" s="17" customFormat="1" ht="6" thickBot="1" x14ac:dyDescent="0.35">
      <c r="B11" s="54"/>
      <c r="C11" s="55"/>
      <c r="D11" s="56"/>
      <c r="E11" s="56"/>
      <c r="F11" s="57"/>
      <c r="G11" s="58"/>
      <c r="H11" s="59"/>
      <c r="I11" s="60"/>
      <c r="J11" s="61"/>
      <c r="K11" s="61"/>
      <c r="L11" s="59"/>
      <c r="M11" s="59"/>
      <c r="N11" s="62"/>
      <c r="O11" s="63"/>
    </row>
    <row r="12" spans="1:21" s="17" customFormat="1" ht="6" thickBot="1" x14ac:dyDescent="0.35">
      <c r="B12" s="23"/>
      <c r="C12" s="26"/>
      <c r="D12" s="19"/>
      <c r="E12" s="19"/>
      <c r="F12" s="20"/>
      <c r="G12" s="20"/>
      <c r="H12" s="20"/>
      <c r="I12" s="18"/>
      <c r="J12" s="64"/>
      <c r="K12" s="64"/>
      <c r="L12" s="20"/>
      <c r="M12" s="20"/>
      <c r="O12" s="29"/>
    </row>
    <row r="13" spans="1:21" ht="15" customHeight="1" x14ac:dyDescent="0.3">
      <c r="B13" s="422" t="s">
        <v>13</v>
      </c>
      <c r="C13" s="424" t="s">
        <v>14</v>
      </c>
      <c r="D13" s="426" t="s">
        <v>15</v>
      </c>
      <c r="E13" s="428" t="s">
        <v>16</v>
      </c>
      <c r="F13" s="430" t="s">
        <v>17</v>
      </c>
      <c r="G13" s="430"/>
      <c r="H13" s="430"/>
      <c r="I13" s="428" t="s">
        <v>18</v>
      </c>
      <c r="J13" s="424" t="s">
        <v>19</v>
      </c>
      <c r="K13" s="424"/>
      <c r="L13" s="424"/>
      <c r="M13" s="424"/>
      <c r="N13" s="424"/>
      <c r="O13" s="431" t="s">
        <v>20</v>
      </c>
    </row>
    <row r="14" spans="1:21" ht="14.25" customHeight="1" thickBot="1" x14ac:dyDescent="0.25">
      <c r="A14" s="65" t="s">
        <v>21</v>
      </c>
      <c r="B14" s="423"/>
      <c r="C14" s="425"/>
      <c r="D14" s="427"/>
      <c r="E14" s="429"/>
      <c r="F14" s="66" t="s">
        <v>22</v>
      </c>
      <c r="G14" s="66" t="s">
        <v>23</v>
      </c>
      <c r="H14" s="66" t="s">
        <v>24</v>
      </c>
      <c r="I14" s="429"/>
      <c r="J14" s="66" t="s">
        <v>25</v>
      </c>
      <c r="K14" s="66" t="s">
        <v>26</v>
      </c>
      <c r="L14" s="66" t="s">
        <v>27</v>
      </c>
      <c r="M14" s="66" t="s">
        <v>28</v>
      </c>
      <c r="N14" s="126" t="s">
        <v>29</v>
      </c>
      <c r="O14" s="432"/>
    </row>
    <row r="15" spans="1:21" s="17" customFormat="1" ht="10.199999999999999" customHeight="1" x14ac:dyDescent="0.3">
      <c r="B15" s="68"/>
      <c r="C15" s="69"/>
      <c r="D15" s="70"/>
      <c r="E15" s="70"/>
      <c r="F15" s="71"/>
      <c r="G15" s="71"/>
      <c r="H15" s="71"/>
      <c r="I15" s="72"/>
      <c r="J15" s="73"/>
      <c r="K15" s="73"/>
      <c r="L15" s="71"/>
      <c r="M15" s="71"/>
      <c r="N15" s="72"/>
      <c r="O15" s="74"/>
    </row>
    <row r="16" spans="1:21" s="83" customFormat="1" ht="13.2" x14ac:dyDescent="0.3">
      <c r="A16" s="75"/>
      <c r="B16" s="77"/>
      <c r="C16" s="78" t="s">
        <v>926</v>
      </c>
      <c r="D16" s="79"/>
      <c r="E16" s="80"/>
      <c r="F16" s="81"/>
      <c r="G16" s="81"/>
      <c r="H16" s="81"/>
      <c r="I16" s="80"/>
      <c r="J16" s="82"/>
      <c r="K16" s="82"/>
      <c r="L16" s="82"/>
      <c r="M16" s="82"/>
      <c r="N16" s="82"/>
      <c r="O16" s="82"/>
    </row>
    <row r="17" spans="1:15" s="162" customFormat="1" x14ac:dyDescent="0.2">
      <c r="A17" s="153">
        <v>1</v>
      </c>
      <c r="B17" s="155" t="s">
        <v>1186</v>
      </c>
      <c r="C17" s="156" t="s">
        <v>11</v>
      </c>
      <c r="D17" s="157"/>
      <c r="E17" s="158"/>
      <c r="F17" s="159"/>
      <c r="G17" s="159"/>
      <c r="H17" s="159"/>
      <c r="I17" s="160"/>
      <c r="J17" s="161"/>
      <c r="K17" s="161"/>
      <c r="L17" s="161"/>
      <c r="M17" s="161"/>
      <c r="N17" s="161"/>
      <c r="O17" s="161"/>
    </row>
    <row r="18" spans="1:15" s="169" customFormat="1" x14ac:dyDescent="0.2">
      <c r="A18" s="163">
        <v>2</v>
      </c>
      <c r="B18" s="165" t="s">
        <v>1179</v>
      </c>
      <c r="C18" s="166" t="s">
        <v>89</v>
      </c>
      <c r="D18" s="167"/>
      <c r="E18" s="158"/>
      <c r="F18" s="159"/>
      <c r="G18" s="159"/>
      <c r="H18" s="159"/>
      <c r="I18" s="160"/>
      <c r="J18" s="168"/>
      <c r="K18" s="168"/>
      <c r="L18" s="168"/>
      <c r="M18" s="168"/>
      <c r="N18" s="168"/>
      <c r="O18" s="168"/>
    </row>
    <row r="19" spans="1:15" s="170" customFormat="1" x14ac:dyDescent="0.3">
      <c r="A19" s="170">
        <v>3</v>
      </c>
      <c r="B19" s="99" t="s">
        <v>1180</v>
      </c>
      <c r="C19" s="226" t="s">
        <v>522</v>
      </c>
      <c r="D19" s="132" t="s">
        <v>0</v>
      </c>
      <c r="E19" s="1"/>
      <c r="F19" s="2"/>
      <c r="G19" s="2"/>
      <c r="H19" s="206"/>
      <c r="I19" s="102"/>
      <c r="J19" s="103"/>
      <c r="K19" s="103"/>
      <c r="L19" s="103"/>
      <c r="M19" s="103"/>
      <c r="N19" s="103"/>
      <c r="O19" s="103">
        <f>SUM(K20:K113)</f>
        <v>121.16899999999981</v>
      </c>
    </row>
    <row r="20" spans="1:15" x14ac:dyDescent="0.3">
      <c r="B20" s="118"/>
      <c r="C20" s="301" t="s">
        <v>927</v>
      </c>
      <c r="D20" s="138"/>
      <c r="E20" s="1"/>
      <c r="F20" s="2"/>
      <c r="G20" s="2"/>
      <c r="H20" s="302"/>
      <c r="I20" s="119"/>
      <c r="J20" s="113"/>
      <c r="K20" s="113"/>
      <c r="L20" s="113"/>
      <c r="M20" s="113"/>
      <c r="N20" s="113"/>
      <c r="O20" s="113"/>
    </row>
    <row r="21" spans="1:15" x14ac:dyDescent="0.3">
      <c r="B21" s="106"/>
      <c r="C21" s="115" t="s">
        <v>127</v>
      </c>
      <c r="D21" s="144"/>
      <c r="E21" s="3"/>
      <c r="F21" s="122"/>
      <c r="G21" s="122"/>
      <c r="H21" s="113"/>
      <c r="I21" s="119"/>
      <c r="J21" s="113"/>
      <c r="K21" s="113"/>
      <c r="L21" s="113"/>
      <c r="M21" s="113"/>
      <c r="N21" s="113"/>
      <c r="O21" s="113"/>
    </row>
    <row r="22" spans="1:15" x14ac:dyDescent="0.3">
      <c r="B22" s="114"/>
      <c r="C22" s="233" t="s">
        <v>928</v>
      </c>
      <c r="D22" s="239" t="s">
        <v>0</v>
      </c>
      <c r="E22" s="235">
        <v>4</v>
      </c>
      <c r="F22" s="236">
        <v>0.9</v>
      </c>
      <c r="G22" s="236"/>
      <c r="H22" s="237">
        <v>1.8</v>
      </c>
      <c r="I22" s="242">
        <v>2</v>
      </c>
      <c r="J22" s="237"/>
      <c r="K22" s="237">
        <f t="shared" ref="K22:K32" si="0">IF(E22="","",PRODUCT(E22:I22))</f>
        <v>12.96</v>
      </c>
      <c r="L22" s="111"/>
      <c r="M22" s="111"/>
      <c r="N22" s="111"/>
      <c r="O22" s="111"/>
    </row>
    <row r="23" spans="1:15" x14ac:dyDescent="0.3">
      <c r="B23" s="114"/>
      <c r="C23" s="233" t="s">
        <v>929</v>
      </c>
      <c r="D23" s="239" t="s">
        <v>0</v>
      </c>
      <c r="E23" s="235">
        <v>1</v>
      </c>
      <c r="F23" s="236">
        <v>1.25</v>
      </c>
      <c r="G23" s="236"/>
      <c r="H23" s="237">
        <v>1.8</v>
      </c>
      <c r="I23" s="242">
        <v>2</v>
      </c>
      <c r="J23" s="237"/>
      <c r="K23" s="237">
        <f t="shared" si="0"/>
        <v>4.5</v>
      </c>
      <c r="L23" s="111"/>
      <c r="M23" s="111"/>
      <c r="N23" s="111"/>
      <c r="O23" s="111"/>
    </row>
    <row r="24" spans="1:15" x14ac:dyDescent="0.3">
      <c r="B24" s="114"/>
      <c r="C24" s="233" t="s">
        <v>929</v>
      </c>
      <c r="D24" s="239" t="s">
        <v>0</v>
      </c>
      <c r="E24" s="235">
        <v>2</v>
      </c>
      <c r="F24" s="236">
        <v>0.95</v>
      </c>
      <c r="G24" s="236"/>
      <c r="H24" s="237">
        <v>1.8</v>
      </c>
      <c r="I24" s="242">
        <v>2</v>
      </c>
      <c r="J24" s="237"/>
      <c r="K24" s="237">
        <f t="shared" si="0"/>
        <v>6.84</v>
      </c>
      <c r="L24" s="111"/>
      <c r="M24" s="111"/>
      <c r="N24" s="111"/>
      <c r="O24" s="111"/>
    </row>
    <row r="25" spans="1:15" x14ac:dyDescent="0.3">
      <c r="B25" s="114"/>
      <c r="C25" s="233" t="s">
        <v>930</v>
      </c>
      <c r="D25" s="239" t="s">
        <v>0</v>
      </c>
      <c r="E25" s="235">
        <v>1</v>
      </c>
      <c r="F25" s="236">
        <f>2.28*2-0.15</f>
        <v>4.4099999999999993</v>
      </c>
      <c r="G25" s="236"/>
      <c r="H25" s="237">
        <v>1.8</v>
      </c>
      <c r="I25" s="242">
        <v>1</v>
      </c>
      <c r="J25" s="237"/>
      <c r="K25" s="237">
        <f t="shared" si="0"/>
        <v>7.9379999999999988</v>
      </c>
      <c r="L25" s="111"/>
      <c r="M25" s="111"/>
      <c r="N25" s="111"/>
      <c r="O25" s="111"/>
    </row>
    <row r="26" spans="1:15" x14ac:dyDescent="0.3">
      <c r="B26" s="114"/>
      <c r="C26" s="233" t="s">
        <v>930</v>
      </c>
      <c r="D26" s="239" t="s">
        <v>0</v>
      </c>
      <c r="E26" s="235">
        <v>1</v>
      </c>
      <c r="F26" s="236">
        <v>0.45</v>
      </c>
      <c r="G26" s="236"/>
      <c r="H26" s="237">
        <v>1.8</v>
      </c>
      <c r="I26" s="242">
        <v>2</v>
      </c>
      <c r="J26" s="237"/>
      <c r="K26" s="237">
        <f t="shared" si="0"/>
        <v>1.62</v>
      </c>
      <c r="L26" s="111"/>
      <c r="M26" s="111"/>
      <c r="N26" s="111"/>
      <c r="O26" s="111"/>
    </row>
    <row r="27" spans="1:15" x14ac:dyDescent="0.3">
      <c r="B27" s="114"/>
      <c r="C27" s="233" t="s">
        <v>931</v>
      </c>
      <c r="D27" s="239" t="s">
        <v>0</v>
      </c>
      <c r="E27" s="235">
        <v>1</v>
      </c>
      <c r="F27" s="236">
        <v>0.15</v>
      </c>
      <c r="G27" s="236"/>
      <c r="H27" s="237">
        <v>1.8</v>
      </c>
      <c r="I27" s="242">
        <v>2</v>
      </c>
      <c r="J27" s="237"/>
      <c r="K27" s="237">
        <f t="shared" si="0"/>
        <v>0.54</v>
      </c>
      <c r="L27" s="111"/>
      <c r="M27" s="111"/>
      <c r="N27" s="111"/>
      <c r="O27" s="111"/>
    </row>
    <row r="28" spans="1:15" x14ac:dyDescent="0.3">
      <c r="B28" s="114"/>
      <c r="C28" s="233" t="s">
        <v>932</v>
      </c>
      <c r="D28" s="239" t="s">
        <v>0</v>
      </c>
      <c r="E28" s="235">
        <v>2</v>
      </c>
      <c r="F28" s="236">
        <v>0.9</v>
      </c>
      <c r="G28" s="236"/>
      <c r="H28" s="237">
        <v>1.8</v>
      </c>
      <c r="I28" s="242">
        <v>2</v>
      </c>
      <c r="J28" s="237"/>
      <c r="K28" s="237">
        <f t="shared" si="0"/>
        <v>6.48</v>
      </c>
      <c r="L28" s="111"/>
      <c r="M28" s="111"/>
      <c r="N28" s="111"/>
      <c r="O28" s="111"/>
    </row>
    <row r="29" spans="1:15" x14ac:dyDescent="0.3">
      <c r="B29" s="114"/>
      <c r="C29" s="233" t="s">
        <v>932</v>
      </c>
      <c r="D29" s="239" t="s">
        <v>0</v>
      </c>
      <c r="E29" s="235">
        <v>2</v>
      </c>
      <c r="F29" s="236">
        <v>0.9</v>
      </c>
      <c r="G29" s="236"/>
      <c r="H29" s="237">
        <v>1.8</v>
      </c>
      <c r="I29" s="242">
        <v>2</v>
      </c>
      <c r="J29" s="237"/>
      <c r="K29" s="237">
        <f t="shared" si="0"/>
        <v>6.48</v>
      </c>
      <c r="L29" s="111"/>
      <c r="M29" s="111"/>
      <c r="N29" s="111"/>
      <c r="O29" s="111"/>
    </row>
    <row r="30" spans="1:15" x14ac:dyDescent="0.3">
      <c r="B30" s="114"/>
      <c r="C30" s="233" t="s">
        <v>932</v>
      </c>
      <c r="D30" s="239" t="s">
        <v>0</v>
      </c>
      <c r="E30" s="235">
        <v>1</v>
      </c>
      <c r="F30" s="236">
        <v>1.08</v>
      </c>
      <c r="G30" s="236"/>
      <c r="H30" s="237">
        <v>1.8</v>
      </c>
      <c r="I30" s="242">
        <v>1</v>
      </c>
      <c r="J30" s="237"/>
      <c r="K30" s="237">
        <f t="shared" si="0"/>
        <v>1.9440000000000002</v>
      </c>
      <c r="L30" s="111"/>
      <c r="M30" s="111"/>
      <c r="N30" s="111"/>
      <c r="O30" s="111"/>
    </row>
    <row r="31" spans="1:15" x14ac:dyDescent="0.3">
      <c r="B31" s="114"/>
      <c r="C31" s="233"/>
      <c r="D31" s="239" t="s">
        <v>0</v>
      </c>
      <c r="E31" s="235">
        <v>1</v>
      </c>
      <c r="F31" s="236">
        <v>0.95</v>
      </c>
      <c r="G31" s="236"/>
      <c r="H31" s="237">
        <v>1.8</v>
      </c>
      <c r="I31" s="242">
        <v>1</v>
      </c>
      <c r="J31" s="237"/>
      <c r="K31" s="237">
        <f t="shared" si="0"/>
        <v>1.71</v>
      </c>
      <c r="L31" s="111"/>
      <c r="M31" s="111"/>
      <c r="N31" s="111"/>
      <c r="O31" s="111"/>
    </row>
    <row r="32" spans="1:15" x14ac:dyDescent="0.3">
      <c r="B32" s="114"/>
      <c r="C32" s="233"/>
      <c r="D32" s="239" t="s">
        <v>0</v>
      </c>
      <c r="E32" s="235">
        <v>1</v>
      </c>
      <c r="F32" s="236">
        <v>0.55000000000000004</v>
      </c>
      <c r="G32" s="236"/>
      <c r="H32" s="237">
        <v>1.8</v>
      </c>
      <c r="I32" s="242">
        <v>1</v>
      </c>
      <c r="J32" s="237"/>
      <c r="K32" s="237">
        <f t="shared" si="0"/>
        <v>0.9900000000000001</v>
      </c>
      <c r="L32" s="111"/>
      <c r="M32" s="111"/>
      <c r="N32" s="111"/>
      <c r="O32" s="111"/>
    </row>
    <row r="33" spans="2:15" x14ac:dyDescent="0.3">
      <c r="B33" s="114"/>
      <c r="C33" s="265"/>
      <c r="D33" s="108"/>
      <c r="E33" s="109"/>
      <c r="F33" s="110"/>
      <c r="G33" s="110"/>
      <c r="H33" s="111"/>
      <c r="I33" s="112"/>
      <c r="J33" s="111"/>
      <c r="K33" s="111"/>
      <c r="L33" s="111"/>
      <c r="M33" s="111"/>
      <c r="N33" s="111"/>
      <c r="O33" s="111"/>
    </row>
    <row r="34" spans="2:15" x14ac:dyDescent="0.3">
      <c r="B34" s="118"/>
      <c r="C34" s="301" t="s">
        <v>174</v>
      </c>
      <c r="D34" s="138"/>
      <c r="E34" s="1"/>
      <c r="F34" s="2"/>
      <c r="G34" s="2"/>
      <c r="H34" s="302"/>
      <c r="I34" s="119"/>
      <c r="J34" s="113"/>
      <c r="K34" s="113"/>
      <c r="L34" s="113"/>
      <c r="M34" s="113"/>
      <c r="N34" s="113"/>
      <c r="O34" s="113"/>
    </row>
    <row r="35" spans="2:15" x14ac:dyDescent="0.3">
      <c r="B35" s="106"/>
      <c r="C35" s="115" t="s">
        <v>127</v>
      </c>
      <c r="D35" s="144"/>
      <c r="E35" s="3"/>
      <c r="F35" s="122"/>
      <c r="G35" s="122"/>
      <c r="H35" s="113"/>
      <c r="I35" s="119"/>
      <c r="J35" s="113"/>
      <c r="K35" s="113"/>
      <c r="L35" s="113"/>
      <c r="M35" s="113"/>
      <c r="N35" s="113"/>
      <c r="O35" s="113"/>
    </row>
    <row r="36" spans="2:15" x14ac:dyDescent="0.3">
      <c r="B36" s="114"/>
      <c r="C36" s="233" t="s">
        <v>933</v>
      </c>
      <c r="D36" s="239" t="s">
        <v>0</v>
      </c>
      <c r="E36" s="235">
        <v>1</v>
      </c>
      <c r="F36" s="236">
        <v>2.95</v>
      </c>
      <c r="G36" s="236"/>
      <c r="H36" s="268">
        <v>2.95</v>
      </c>
      <c r="I36" s="242">
        <v>1</v>
      </c>
      <c r="J36" s="237"/>
      <c r="K36" s="237">
        <f t="shared" ref="K36:K43" si="1">IF(E36="","",PRODUCT(E36:I36))</f>
        <v>8.7025000000000006</v>
      </c>
      <c r="L36" s="111"/>
      <c r="M36" s="111"/>
      <c r="N36" s="111"/>
      <c r="O36" s="111"/>
    </row>
    <row r="37" spans="2:15" x14ac:dyDescent="0.3">
      <c r="B37" s="114"/>
      <c r="C37" s="233" t="s">
        <v>934</v>
      </c>
      <c r="D37" s="239" t="s">
        <v>0</v>
      </c>
      <c r="E37" s="235">
        <v>1</v>
      </c>
      <c r="F37" s="236">
        <v>1.8</v>
      </c>
      <c r="G37" s="236"/>
      <c r="H37" s="268">
        <v>1.8</v>
      </c>
      <c r="I37" s="242">
        <v>2</v>
      </c>
      <c r="J37" s="237"/>
      <c r="K37" s="237">
        <f t="shared" si="1"/>
        <v>6.48</v>
      </c>
      <c r="L37" s="111"/>
      <c r="M37" s="111"/>
      <c r="N37" s="111"/>
      <c r="O37" s="111"/>
    </row>
    <row r="38" spans="2:15" x14ac:dyDescent="0.3">
      <c r="B38" s="114"/>
      <c r="C38" s="266" t="s">
        <v>935</v>
      </c>
      <c r="D38" s="269" t="s">
        <v>0</v>
      </c>
      <c r="E38" s="270">
        <v>1</v>
      </c>
      <c r="F38" s="268">
        <v>3.35</v>
      </c>
      <c r="G38" s="272"/>
      <c r="H38" s="268">
        <v>2.95</v>
      </c>
      <c r="I38" s="270">
        <v>1</v>
      </c>
      <c r="J38" s="272"/>
      <c r="K38" s="268">
        <f t="shared" si="1"/>
        <v>9.8825000000000003</v>
      </c>
      <c r="L38" s="111"/>
      <c r="M38" s="111"/>
      <c r="N38" s="111"/>
      <c r="O38" s="111"/>
    </row>
    <row r="39" spans="2:15" x14ac:dyDescent="0.3">
      <c r="B39" s="114"/>
      <c r="C39" s="233" t="s">
        <v>936</v>
      </c>
      <c r="D39" s="239" t="s">
        <v>0</v>
      </c>
      <c r="E39" s="235">
        <v>1</v>
      </c>
      <c r="F39" s="236">
        <v>2.4</v>
      </c>
      <c r="G39" s="236"/>
      <c r="H39" s="268">
        <v>2.95</v>
      </c>
      <c r="I39" s="242">
        <v>1</v>
      </c>
      <c r="J39" s="237"/>
      <c r="K39" s="237">
        <f t="shared" si="1"/>
        <v>7.08</v>
      </c>
      <c r="L39" s="111"/>
      <c r="M39" s="111"/>
      <c r="N39" s="111"/>
      <c r="O39" s="111"/>
    </row>
    <row r="40" spans="2:15" x14ac:dyDescent="0.3">
      <c r="B40" s="114"/>
      <c r="C40" s="233" t="s">
        <v>937</v>
      </c>
      <c r="D40" s="239" t="s">
        <v>0</v>
      </c>
      <c r="E40" s="235">
        <v>1</v>
      </c>
      <c r="F40" s="236">
        <v>1.1000000000000001</v>
      </c>
      <c r="G40" s="236"/>
      <c r="H40" s="268">
        <v>2.95</v>
      </c>
      <c r="I40" s="242">
        <v>2</v>
      </c>
      <c r="J40" s="237"/>
      <c r="K40" s="237">
        <f t="shared" si="1"/>
        <v>6.4900000000000011</v>
      </c>
      <c r="L40" s="111"/>
      <c r="M40" s="111"/>
      <c r="N40" s="111"/>
      <c r="O40" s="111"/>
    </row>
    <row r="41" spans="2:15" x14ac:dyDescent="0.3">
      <c r="B41" s="114"/>
      <c r="C41" s="233" t="s">
        <v>938</v>
      </c>
      <c r="D41" s="239" t="s">
        <v>0</v>
      </c>
      <c r="E41" s="235">
        <v>1</v>
      </c>
      <c r="F41" s="236">
        <v>1.24</v>
      </c>
      <c r="G41" s="236"/>
      <c r="H41" s="268">
        <v>2.95</v>
      </c>
      <c r="I41" s="242">
        <v>1</v>
      </c>
      <c r="J41" s="237"/>
      <c r="K41" s="237">
        <f t="shared" si="1"/>
        <v>3.6580000000000004</v>
      </c>
      <c r="L41" s="111"/>
      <c r="M41" s="111"/>
      <c r="N41" s="111"/>
      <c r="O41" s="111"/>
    </row>
    <row r="42" spans="2:15" x14ac:dyDescent="0.3">
      <c r="B42" s="114"/>
      <c r="C42" s="233" t="s">
        <v>939</v>
      </c>
      <c r="D42" s="239" t="s">
        <v>0</v>
      </c>
      <c r="E42" s="235">
        <v>1</v>
      </c>
      <c r="F42" s="236">
        <v>2.58</v>
      </c>
      <c r="G42" s="236"/>
      <c r="H42" s="268">
        <v>2.95</v>
      </c>
      <c r="I42" s="242">
        <v>1</v>
      </c>
      <c r="J42" s="237"/>
      <c r="K42" s="237">
        <f t="shared" si="1"/>
        <v>7.6110000000000007</v>
      </c>
      <c r="L42" s="111"/>
      <c r="M42" s="111"/>
      <c r="N42" s="111"/>
      <c r="O42" s="111"/>
    </row>
    <row r="43" spans="2:15" x14ac:dyDescent="0.3">
      <c r="B43" s="114"/>
      <c r="C43" s="233" t="s">
        <v>940</v>
      </c>
      <c r="D43" s="239" t="s">
        <v>0</v>
      </c>
      <c r="E43" s="235">
        <v>1</v>
      </c>
      <c r="F43" s="236">
        <v>1.62</v>
      </c>
      <c r="G43" s="236"/>
      <c r="H43" s="268">
        <v>2.95</v>
      </c>
      <c r="I43" s="242">
        <v>1</v>
      </c>
      <c r="J43" s="237"/>
      <c r="K43" s="237">
        <f t="shared" si="1"/>
        <v>4.7790000000000008</v>
      </c>
      <c r="L43" s="111"/>
      <c r="M43" s="111"/>
      <c r="N43" s="111"/>
      <c r="O43" s="111"/>
    </row>
    <row r="44" spans="2:15" x14ac:dyDescent="0.3">
      <c r="B44" s="106"/>
      <c r="C44" s="115" t="s">
        <v>941</v>
      </c>
      <c r="D44" s="144"/>
      <c r="E44" s="3"/>
      <c r="F44" s="122"/>
      <c r="G44" s="122"/>
      <c r="H44" s="113"/>
      <c r="I44" s="119"/>
      <c r="J44" s="113"/>
      <c r="K44" s="113"/>
      <c r="L44" s="113"/>
      <c r="M44" s="113"/>
      <c r="N44" s="113"/>
      <c r="O44" s="113"/>
    </row>
    <row r="45" spans="2:15" x14ac:dyDescent="0.3">
      <c r="B45" s="114"/>
      <c r="C45" s="233" t="s">
        <v>88</v>
      </c>
      <c r="D45" s="239" t="s">
        <v>0</v>
      </c>
      <c r="E45" s="235">
        <v>-1</v>
      </c>
      <c r="F45" s="236">
        <v>2.95</v>
      </c>
      <c r="G45" s="236"/>
      <c r="H45" s="268">
        <v>0.85</v>
      </c>
      <c r="I45" s="242">
        <v>1</v>
      </c>
      <c r="J45" s="237"/>
      <c r="K45" s="237">
        <f>IF(E45="","",PRODUCT(E45:I45))</f>
        <v>-2.5075000000000003</v>
      </c>
      <c r="L45" s="111"/>
      <c r="M45" s="111"/>
      <c r="N45" s="111"/>
      <c r="O45" s="111"/>
    </row>
    <row r="46" spans="2:15" x14ac:dyDescent="0.3">
      <c r="B46" s="114"/>
      <c r="C46" s="233" t="s">
        <v>87</v>
      </c>
      <c r="D46" s="239" t="s">
        <v>0</v>
      </c>
      <c r="E46" s="235">
        <v>-1</v>
      </c>
      <c r="F46" s="236">
        <v>0.62</v>
      </c>
      <c r="G46" s="236"/>
      <c r="H46" s="268">
        <v>0.85</v>
      </c>
      <c r="I46" s="242">
        <v>1</v>
      </c>
      <c r="J46" s="237"/>
      <c r="K46" s="237">
        <f>IF(E46="","",PRODUCT(E46:I46))</f>
        <v>-0.52700000000000002</v>
      </c>
      <c r="L46" s="111"/>
      <c r="M46" s="111"/>
      <c r="N46" s="111"/>
      <c r="O46" s="111"/>
    </row>
    <row r="47" spans="2:15" x14ac:dyDescent="0.3">
      <c r="B47" s="114"/>
      <c r="C47" s="233" t="s">
        <v>136</v>
      </c>
      <c r="D47" s="239" t="s">
        <v>0</v>
      </c>
      <c r="E47" s="235">
        <v>-1</v>
      </c>
      <c r="F47" s="236">
        <v>2.58</v>
      </c>
      <c r="G47" s="236"/>
      <c r="H47" s="268">
        <v>0.85</v>
      </c>
      <c r="I47" s="242">
        <v>1</v>
      </c>
      <c r="J47" s="237"/>
      <c r="K47" s="237">
        <f>IF(E47="","",PRODUCT(E47:I47))</f>
        <v>-2.1930000000000001</v>
      </c>
      <c r="L47" s="111"/>
      <c r="M47" s="111"/>
      <c r="N47" s="111"/>
      <c r="O47" s="111"/>
    </row>
    <row r="48" spans="2:15" x14ac:dyDescent="0.3">
      <c r="B48" s="114"/>
      <c r="C48" s="233" t="s">
        <v>942</v>
      </c>
      <c r="D48" s="239" t="s">
        <v>0</v>
      </c>
      <c r="E48" s="235">
        <v>-1</v>
      </c>
      <c r="F48" s="236">
        <v>1.62</v>
      </c>
      <c r="G48" s="236"/>
      <c r="H48" s="268">
        <v>0.85</v>
      </c>
      <c r="I48" s="242">
        <v>1</v>
      </c>
      <c r="J48" s="237"/>
      <c r="K48" s="237">
        <f>IF(E48="","",PRODUCT(E48:I48))</f>
        <v>-1.377</v>
      </c>
      <c r="L48" s="111"/>
      <c r="M48" s="111"/>
      <c r="N48" s="111"/>
      <c r="O48" s="111"/>
    </row>
    <row r="49" spans="2:15" x14ac:dyDescent="0.3">
      <c r="B49" s="106"/>
      <c r="C49" s="115" t="s">
        <v>68</v>
      </c>
      <c r="D49" s="144"/>
      <c r="E49" s="3"/>
      <c r="F49" s="122"/>
      <c r="G49" s="122"/>
      <c r="H49" s="113"/>
      <c r="I49" s="119"/>
      <c r="J49" s="113"/>
      <c r="K49" s="113"/>
      <c r="L49" s="113"/>
      <c r="M49" s="113"/>
      <c r="N49" s="113"/>
      <c r="O49" s="113"/>
    </row>
    <row r="50" spans="2:15" x14ac:dyDescent="0.3">
      <c r="B50" s="114"/>
      <c r="C50" s="233" t="s">
        <v>937</v>
      </c>
      <c r="D50" s="239" t="s">
        <v>0</v>
      </c>
      <c r="E50" s="235">
        <v>1</v>
      </c>
      <c r="F50" s="236">
        <f>1.88+0.55</f>
        <v>2.4299999999999997</v>
      </c>
      <c r="G50" s="236"/>
      <c r="H50" s="268">
        <v>2.95</v>
      </c>
      <c r="I50" s="242">
        <v>1</v>
      </c>
      <c r="J50" s="237"/>
      <c r="K50" s="237">
        <f t="shared" ref="K50:K60" si="2">IF(E50="","",PRODUCT(E50:I50))</f>
        <v>7.1684999999999999</v>
      </c>
      <c r="L50" s="111"/>
      <c r="M50" s="111"/>
      <c r="N50" s="111"/>
      <c r="O50" s="111"/>
    </row>
    <row r="51" spans="2:15" x14ac:dyDescent="0.3">
      <c r="B51" s="114"/>
      <c r="C51" s="233" t="s">
        <v>938</v>
      </c>
      <c r="D51" s="239" t="s">
        <v>0</v>
      </c>
      <c r="E51" s="235">
        <v>1</v>
      </c>
      <c r="F51" s="236">
        <v>1.62</v>
      </c>
      <c r="G51" s="236"/>
      <c r="H51" s="268">
        <v>2.95</v>
      </c>
      <c r="I51" s="242">
        <v>1</v>
      </c>
      <c r="J51" s="237"/>
      <c r="K51" s="237">
        <f t="shared" si="2"/>
        <v>4.7790000000000008</v>
      </c>
      <c r="L51" s="111"/>
      <c r="M51" s="111"/>
      <c r="N51" s="111"/>
      <c r="O51" s="111"/>
    </row>
    <row r="52" spans="2:15" x14ac:dyDescent="0.3">
      <c r="B52" s="114"/>
      <c r="C52" s="233" t="s">
        <v>943</v>
      </c>
      <c r="D52" s="239" t="s">
        <v>0</v>
      </c>
      <c r="E52" s="235">
        <v>1</v>
      </c>
      <c r="F52" s="236">
        <v>1.25</v>
      </c>
      <c r="G52" s="236"/>
      <c r="H52" s="268">
        <v>2.95</v>
      </c>
      <c r="I52" s="242">
        <v>2</v>
      </c>
      <c r="J52" s="237"/>
      <c r="K52" s="237">
        <f t="shared" si="2"/>
        <v>7.375</v>
      </c>
      <c r="L52" s="111"/>
      <c r="M52" s="111"/>
      <c r="N52" s="111"/>
      <c r="O52" s="111"/>
    </row>
    <row r="53" spans="2:15" x14ac:dyDescent="0.3">
      <c r="B53" s="114"/>
      <c r="C53" s="233" t="s">
        <v>944</v>
      </c>
      <c r="D53" s="239" t="s">
        <v>0</v>
      </c>
      <c r="E53" s="235">
        <v>1</v>
      </c>
      <c r="F53" s="236">
        <v>1.25</v>
      </c>
      <c r="G53" s="236"/>
      <c r="H53" s="268">
        <v>2.95</v>
      </c>
      <c r="I53" s="242">
        <v>1</v>
      </c>
      <c r="J53" s="237"/>
      <c r="K53" s="237">
        <f t="shared" si="2"/>
        <v>3.6875</v>
      </c>
      <c r="L53" s="111"/>
      <c r="M53" s="111"/>
      <c r="N53" s="111"/>
      <c r="O53" s="111"/>
    </row>
    <row r="54" spans="2:15" x14ac:dyDescent="0.3">
      <c r="B54" s="114"/>
      <c r="C54" s="233" t="s">
        <v>945</v>
      </c>
      <c r="D54" s="239" t="s">
        <v>0</v>
      </c>
      <c r="E54" s="235">
        <v>1</v>
      </c>
      <c r="F54" s="236">
        <v>2.0499999999999998</v>
      </c>
      <c r="G54" s="236"/>
      <c r="H54" s="268">
        <v>2.95</v>
      </c>
      <c r="I54" s="242">
        <v>2</v>
      </c>
      <c r="J54" s="237"/>
      <c r="K54" s="237">
        <f t="shared" si="2"/>
        <v>12.094999999999999</v>
      </c>
      <c r="L54" s="111"/>
      <c r="M54" s="111"/>
      <c r="N54" s="111"/>
      <c r="O54" s="111"/>
    </row>
    <row r="55" spans="2:15" x14ac:dyDescent="0.3">
      <c r="B55" s="114"/>
      <c r="C55" s="233" t="s">
        <v>946</v>
      </c>
      <c r="D55" s="239" t="s">
        <v>0</v>
      </c>
      <c r="E55" s="235">
        <v>1</v>
      </c>
      <c r="F55" s="236">
        <f>1.48+1.33</f>
        <v>2.81</v>
      </c>
      <c r="G55" s="236"/>
      <c r="H55" s="268">
        <v>2.95</v>
      </c>
      <c r="I55" s="242">
        <v>1</v>
      </c>
      <c r="J55" s="237"/>
      <c r="K55" s="237">
        <f t="shared" si="2"/>
        <v>8.2895000000000003</v>
      </c>
      <c r="L55" s="111"/>
      <c r="M55" s="111"/>
      <c r="N55" s="111"/>
      <c r="O55" s="111"/>
    </row>
    <row r="56" spans="2:15" x14ac:dyDescent="0.3">
      <c r="B56" s="114"/>
      <c r="C56" s="233" t="s">
        <v>947</v>
      </c>
      <c r="D56" s="239" t="s">
        <v>0</v>
      </c>
      <c r="E56" s="235">
        <v>1</v>
      </c>
      <c r="F56" s="236">
        <f>2.12+1.1</f>
        <v>3.22</v>
      </c>
      <c r="G56" s="236"/>
      <c r="H56" s="268">
        <v>2.95</v>
      </c>
      <c r="I56" s="242">
        <v>1</v>
      </c>
      <c r="J56" s="237"/>
      <c r="K56" s="237">
        <f t="shared" si="2"/>
        <v>9.4990000000000006</v>
      </c>
      <c r="L56" s="111"/>
      <c r="M56" s="111"/>
      <c r="N56" s="111"/>
      <c r="O56" s="111"/>
    </row>
    <row r="57" spans="2:15" x14ac:dyDescent="0.3">
      <c r="B57" s="114"/>
      <c r="C57" s="233" t="s">
        <v>948</v>
      </c>
      <c r="D57" s="239" t="s">
        <v>0</v>
      </c>
      <c r="E57" s="235">
        <v>1</v>
      </c>
      <c r="F57" s="236">
        <v>3.8</v>
      </c>
      <c r="G57" s="236"/>
      <c r="H57" s="268">
        <v>2.95</v>
      </c>
      <c r="I57" s="242">
        <v>2</v>
      </c>
      <c r="J57" s="237"/>
      <c r="K57" s="237">
        <f t="shared" si="2"/>
        <v>22.42</v>
      </c>
      <c r="L57" s="111"/>
      <c r="M57" s="111"/>
      <c r="N57" s="111"/>
      <c r="O57" s="111"/>
    </row>
    <row r="58" spans="2:15" x14ac:dyDescent="0.3">
      <c r="B58" s="114"/>
      <c r="C58" s="233" t="s">
        <v>949</v>
      </c>
      <c r="D58" s="239" t="s">
        <v>0</v>
      </c>
      <c r="E58" s="235">
        <v>1</v>
      </c>
      <c r="F58" s="236">
        <v>0.63</v>
      </c>
      <c r="G58" s="236"/>
      <c r="H58" s="268">
        <v>2.85</v>
      </c>
      <c r="I58" s="242">
        <v>1</v>
      </c>
      <c r="J58" s="237"/>
      <c r="K58" s="237">
        <f t="shared" si="2"/>
        <v>1.7955000000000001</v>
      </c>
      <c r="L58" s="111"/>
      <c r="M58" s="111"/>
      <c r="N58" s="111"/>
      <c r="O58" s="111"/>
    </row>
    <row r="59" spans="2:15" x14ac:dyDescent="0.3">
      <c r="B59" s="114"/>
      <c r="C59" s="233" t="s">
        <v>939</v>
      </c>
      <c r="D59" s="239" t="s">
        <v>0</v>
      </c>
      <c r="E59" s="235">
        <v>1</v>
      </c>
      <c r="F59" s="236">
        <f>1.88+0.55</f>
        <v>2.4299999999999997</v>
      </c>
      <c r="G59" s="236"/>
      <c r="H59" s="268">
        <v>2.95</v>
      </c>
      <c r="I59" s="242">
        <v>1</v>
      </c>
      <c r="J59" s="237"/>
      <c r="K59" s="237">
        <f t="shared" si="2"/>
        <v>7.1684999999999999</v>
      </c>
      <c r="L59" s="111"/>
      <c r="M59" s="111"/>
      <c r="N59" s="111"/>
      <c r="O59" s="111"/>
    </row>
    <row r="60" spans="2:15" x14ac:dyDescent="0.3">
      <c r="B60" s="114"/>
      <c r="C60" s="233" t="s">
        <v>940</v>
      </c>
      <c r="D60" s="239" t="s">
        <v>0</v>
      </c>
      <c r="E60" s="235">
        <v>1</v>
      </c>
      <c r="F60" s="236">
        <v>1.62</v>
      </c>
      <c r="G60" s="236"/>
      <c r="H60" s="268">
        <v>2.95</v>
      </c>
      <c r="I60" s="242">
        <v>1</v>
      </c>
      <c r="J60" s="237"/>
      <c r="K60" s="237">
        <f t="shared" si="2"/>
        <v>4.7790000000000008</v>
      </c>
      <c r="L60" s="111"/>
      <c r="M60" s="111"/>
      <c r="N60" s="111"/>
      <c r="O60" s="111"/>
    </row>
    <row r="61" spans="2:15" x14ac:dyDescent="0.3">
      <c r="B61" s="106"/>
      <c r="C61" s="115" t="s">
        <v>941</v>
      </c>
      <c r="D61" s="144"/>
      <c r="E61" s="3"/>
      <c r="F61" s="122"/>
      <c r="G61" s="122"/>
      <c r="H61" s="113"/>
      <c r="I61" s="119"/>
      <c r="J61" s="113"/>
      <c r="K61" s="113"/>
      <c r="L61" s="113"/>
      <c r="M61" s="113"/>
      <c r="N61" s="113"/>
      <c r="O61" s="113"/>
    </row>
    <row r="62" spans="2:15" x14ac:dyDescent="0.3">
      <c r="B62" s="114"/>
      <c r="C62" s="233" t="s">
        <v>136</v>
      </c>
      <c r="D62" s="239" t="s">
        <v>0</v>
      </c>
      <c r="E62" s="235">
        <v>-1</v>
      </c>
      <c r="F62" s="236">
        <v>1.62</v>
      </c>
      <c r="G62" s="236"/>
      <c r="H62" s="268">
        <v>0.85</v>
      </c>
      <c r="I62" s="242">
        <v>1</v>
      </c>
      <c r="J62" s="237"/>
      <c r="K62" s="237">
        <f>IF(E62="","",PRODUCT(E62:I62))</f>
        <v>-1.377</v>
      </c>
      <c r="L62" s="111"/>
      <c r="M62" s="111"/>
      <c r="N62" s="111"/>
      <c r="O62" s="111"/>
    </row>
    <row r="63" spans="2:15" x14ac:dyDescent="0.3">
      <c r="B63" s="114"/>
      <c r="C63" s="233" t="s">
        <v>658</v>
      </c>
      <c r="D63" s="239" t="s">
        <v>0</v>
      </c>
      <c r="E63" s="235">
        <v>-1</v>
      </c>
      <c r="F63" s="236">
        <v>1.88</v>
      </c>
      <c r="G63" s="236"/>
      <c r="H63" s="268">
        <v>1.75</v>
      </c>
      <c r="I63" s="242">
        <v>1</v>
      </c>
      <c r="J63" s="237"/>
      <c r="K63" s="237">
        <f>IF(E63="","",PRODUCT(E63:I63))</f>
        <v>-3.29</v>
      </c>
      <c r="L63" s="111"/>
      <c r="M63" s="111"/>
      <c r="N63" s="111"/>
      <c r="O63" s="111"/>
    </row>
    <row r="64" spans="2:15" x14ac:dyDescent="0.3">
      <c r="B64" s="114"/>
      <c r="C64" s="233" t="s">
        <v>950</v>
      </c>
      <c r="D64" s="239" t="s">
        <v>0</v>
      </c>
      <c r="E64" s="235">
        <v>-1</v>
      </c>
      <c r="F64" s="236">
        <v>0.63</v>
      </c>
      <c r="G64" s="236"/>
      <c r="H64" s="268">
        <v>0.85</v>
      </c>
      <c r="I64" s="242">
        <v>1</v>
      </c>
      <c r="J64" s="237"/>
      <c r="K64" s="237">
        <f>IF(E64="","",PRODUCT(E64:I64))</f>
        <v>-0.53549999999999998</v>
      </c>
      <c r="L64" s="111"/>
      <c r="M64" s="111"/>
      <c r="N64" s="111"/>
      <c r="O64" s="111"/>
    </row>
    <row r="65" spans="2:15" x14ac:dyDescent="0.3">
      <c r="B65" s="114"/>
      <c r="C65" s="233" t="s">
        <v>951</v>
      </c>
      <c r="D65" s="239" t="s">
        <v>0</v>
      </c>
      <c r="E65" s="235">
        <v>-1</v>
      </c>
      <c r="F65" s="236">
        <v>1.62</v>
      </c>
      <c r="G65" s="236"/>
      <c r="H65" s="268">
        <v>1.75</v>
      </c>
      <c r="I65" s="242">
        <v>1</v>
      </c>
      <c r="J65" s="237"/>
      <c r="K65" s="237">
        <f>IF(E65="","",PRODUCT(E65:I65))</f>
        <v>-2.835</v>
      </c>
      <c r="L65" s="111"/>
      <c r="M65" s="111"/>
      <c r="N65" s="111"/>
      <c r="O65" s="111"/>
    </row>
    <row r="66" spans="2:15" x14ac:dyDescent="0.3">
      <c r="B66" s="106"/>
      <c r="C66" s="115" t="s">
        <v>106</v>
      </c>
      <c r="D66" s="144"/>
      <c r="E66" s="3"/>
      <c r="F66" s="122"/>
      <c r="G66" s="122"/>
      <c r="H66" s="113"/>
      <c r="I66" s="119"/>
      <c r="J66" s="113"/>
      <c r="K66" s="113"/>
      <c r="L66" s="113"/>
      <c r="M66" s="113"/>
      <c r="N66" s="113"/>
      <c r="O66" s="113"/>
    </row>
    <row r="67" spans="2:15" x14ac:dyDescent="0.3">
      <c r="B67" s="114"/>
      <c r="C67" s="233" t="s">
        <v>952</v>
      </c>
      <c r="D67" s="239" t="s">
        <v>0</v>
      </c>
      <c r="E67" s="235">
        <v>1</v>
      </c>
      <c r="F67" s="236">
        <v>3.15</v>
      </c>
      <c r="G67" s="236"/>
      <c r="H67" s="268">
        <v>2.95</v>
      </c>
      <c r="I67" s="242">
        <v>1</v>
      </c>
      <c r="J67" s="237"/>
      <c r="K67" s="237">
        <f t="shared" ref="K67:K78" si="3">IF(E67="","",PRODUCT(E67:I67))</f>
        <v>9.2925000000000004</v>
      </c>
      <c r="L67" s="111"/>
      <c r="M67" s="111"/>
      <c r="N67" s="111"/>
      <c r="O67" s="111"/>
    </row>
    <row r="68" spans="2:15" x14ac:dyDescent="0.3">
      <c r="B68" s="114"/>
      <c r="C68" s="233" t="s">
        <v>953</v>
      </c>
      <c r="D68" s="239" t="s">
        <v>0</v>
      </c>
      <c r="E68" s="235">
        <v>1</v>
      </c>
      <c r="F68" s="236">
        <v>3.87</v>
      </c>
      <c r="G68" s="236"/>
      <c r="H68" s="268">
        <v>2.95</v>
      </c>
      <c r="I68" s="242">
        <v>1</v>
      </c>
      <c r="J68" s="237"/>
      <c r="K68" s="237">
        <f t="shared" si="3"/>
        <v>11.416500000000001</v>
      </c>
      <c r="L68" s="111"/>
      <c r="M68" s="111"/>
      <c r="N68" s="111"/>
      <c r="O68" s="111"/>
    </row>
    <row r="69" spans="2:15" x14ac:dyDescent="0.3">
      <c r="B69" s="114"/>
      <c r="C69" s="233" t="s">
        <v>954</v>
      </c>
      <c r="D69" s="239" t="s">
        <v>0</v>
      </c>
      <c r="E69" s="235">
        <v>1</v>
      </c>
      <c r="F69" s="236">
        <v>2.58</v>
      </c>
      <c r="G69" s="236"/>
      <c r="H69" s="268">
        <v>2.95</v>
      </c>
      <c r="I69" s="242">
        <v>1</v>
      </c>
      <c r="J69" s="237"/>
      <c r="K69" s="237">
        <f t="shared" si="3"/>
        <v>7.6110000000000007</v>
      </c>
      <c r="L69" s="111"/>
      <c r="M69" s="111"/>
      <c r="N69" s="111"/>
      <c r="O69" s="111"/>
    </row>
    <row r="70" spans="2:15" x14ac:dyDescent="0.3">
      <c r="B70" s="114"/>
      <c r="C70" s="233" t="s">
        <v>955</v>
      </c>
      <c r="D70" s="239" t="s">
        <v>0</v>
      </c>
      <c r="E70" s="235">
        <v>1</v>
      </c>
      <c r="F70" s="236">
        <v>1.43</v>
      </c>
      <c r="G70" s="236"/>
      <c r="H70" s="268">
        <v>2.85</v>
      </c>
      <c r="I70" s="242">
        <v>2</v>
      </c>
      <c r="J70" s="237"/>
      <c r="K70" s="237">
        <f t="shared" si="3"/>
        <v>8.1509999999999998</v>
      </c>
      <c r="L70" s="111"/>
      <c r="M70" s="111"/>
      <c r="N70" s="111"/>
      <c r="O70" s="111"/>
    </row>
    <row r="71" spans="2:15" x14ac:dyDescent="0.3">
      <c r="B71" s="114"/>
      <c r="C71" s="233" t="s">
        <v>956</v>
      </c>
      <c r="D71" s="239" t="s">
        <v>0</v>
      </c>
      <c r="E71" s="235">
        <v>1</v>
      </c>
      <c r="F71" s="236">
        <v>1.2</v>
      </c>
      <c r="G71" s="236"/>
      <c r="H71" s="268">
        <v>2.95</v>
      </c>
      <c r="I71" s="242">
        <v>1</v>
      </c>
      <c r="J71" s="237"/>
      <c r="K71" s="237">
        <f t="shared" si="3"/>
        <v>3.54</v>
      </c>
      <c r="L71" s="111"/>
      <c r="M71" s="111"/>
      <c r="N71" s="111"/>
      <c r="O71" s="111"/>
    </row>
    <row r="72" spans="2:15" x14ac:dyDescent="0.3">
      <c r="B72" s="114"/>
      <c r="C72" s="233" t="s">
        <v>957</v>
      </c>
      <c r="D72" s="239" t="s">
        <v>0</v>
      </c>
      <c r="E72" s="235">
        <v>1</v>
      </c>
      <c r="F72" s="236">
        <v>1.62</v>
      </c>
      <c r="G72" s="236"/>
      <c r="H72" s="268">
        <v>2.95</v>
      </c>
      <c r="I72" s="242">
        <v>2</v>
      </c>
      <c r="J72" s="237"/>
      <c r="K72" s="237">
        <f t="shared" si="3"/>
        <v>9.5580000000000016</v>
      </c>
      <c r="L72" s="111"/>
      <c r="M72" s="111"/>
      <c r="N72" s="111"/>
      <c r="O72" s="111"/>
    </row>
    <row r="73" spans="2:15" x14ac:dyDescent="0.3">
      <c r="B73" s="114"/>
      <c r="C73" s="233" t="s">
        <v>958</v>
      </c>
      <c r="D73" s="239" t="s">
        <v>0</v>
      </c>
      <c r="E73" s="235">
        <v>1</v>
      </c>
      <c r="F73" s="236">
        <f>0.6+0.45</f>
        <v>1.05</v>
      </c>
      <c r="G73" s="236"/>
      <c r="H73" s="268">
        <v>2.95</v>
      </c>
      <c r="I73" s="242">
        <v>1</v>
      </c>
      <c r="J73" s="237"/>
      <c r="K73" s="237">
        <f t="shared" si="3"/>
        <v>3.0975000000000001</v>
      </c>
      <c r="L73" s="111"/>
      <c r="M73" s="111"/>
      <c r="N73" s="111"/>
      <c r="O73" s="111"/>
    </row>
    <row r="74" spans="2:15" x14ac:dyDescent="0.3">
      <c r="B74" s="114"/>
      <c r="C74" s="233" t="s">
        <v>959</v>
      </c>
      <c r="D74" s="239" t="s">
        <v>0</v>
      </c>
      <c r="E74" s="235">
        <v>1</v>
      </c>
      <c r="F74" s="236">
        <v>5.15</v>
      </c>
      <c r="G74" s="236"/>
      <c r="H74" s="268">
        <v>2.95</v>
      </c>
      <c r="I74" s="242">
        <v>2</v>
      </c>
      <c r="J74" s="237"/>
      <c r="K74" s="237">
        <f t="shared" si="3"/>
        <v>30.385000000000005</v>
      </c>
      <c r="L74" s="111"/>
      <c r="M74" s="111"/>
      <c r="N74" s="111"/>
      <c r="O74" s="111"/>
    </row>
    <row r="75" spans="2:15" x14ac:dyDescent="0.3">
      <c r="B75" s="114"/>
      <c r="C75" s="233" t="s">
        <v>960</v>
      </c>
      <c r="D75" s="239" t="s">
        <v>0</v>
      </c>
      <c r="E75" s="235">
        <v>1</v>
      </c>
      <c r="F75" s="236">
        <v>2.87</v>
      </c>
      <c r="G75" s="236"/>
      <c r="H75" s="268">
        <v>2.95</v>
      </c>
      <c r="I75" s="242">
        <v>1</v>
      </c>
      <c r="J75" s="237"/>
      <c r="K75" s="237">
        <f t="shared" si="3"/>
        <v>8.4665000000000017</v>
      </c>
      <c r="L75" s="111"/>
      <c r="M75" s="111"/>
      <c r="N75" s="111"/>
      <c r="O75" s="111"/>
    </row>
    <row r="76" spans="2:15" x14ac:dyDescent="0.3">
      <c r="B76" s="114"/>
      <c r="C76" s="233" t="s">
        <v>961</v>
      </c>
      <c r="D76" s="239" t="s">
        <v>0</v>
      </c>
      <c r="E76" s="235">
        <v>1</v>
      </c>
      <c r="F76" s="236">
        <v>1.2</v>
      </c>
      <c r="G76" s="236"/>
      <c r="H76" s="268">
        <v>2.95</v>
      </c>
      <c r="I76" s="242">
        <v>1</v>
      </c>
      <c r="J76" s="237"/>
      <c r="K76" s="237">
        <f t="shared" si="3"/>
        <v>3.54</v>
      </c>
      <c r="L76" s="111"/>
      <c r="M76" s="111"/>
      <c r="N76" s="111"/>
      <c r="O76" s="111"/>
    </row>
    <row r="77" spans="2:15" x14ac:dyDescent="0.3">
      <c r="B77" s="114"/>
      <c r="C77" s="233" t="s">
        <v>939</v>
      </c>
      <c r="D77" s="239" t="s">
        <v>0</v>
      </c>
      <c r="E77" s="235">
        <v>1</v>
      </c>
      <c r="F77" s="236">
        <v>2.58</v>
      </c>
      <c r="G77" s="236"/>
      <c r="H77" s="268">
        <v>2.95</v>
      </c>
      <c r="I77" s="242">
        <v>1</v>
      </c>
      <c r="J77" s="237"/>
      <c r="K77" s="237">
        <f t="shared" si="3"/>
        <v>7.6110000000000007</v>
      </c>
      <c r="L77" s="111"/>
      <c r="M77" s="111"/>
      <c r="N77" s="111"/>
      <c r="O77" s="111"/>
    </row>
    <row r="78" spans="2:15" x14ac:dyDescent="0.3">
      <c r="B78" s="114"/>
      <c r="C78" s="233" t="s">
        <v>940</v>
      </c>
      <c r="D78" s="239" t="s">
        <v>0</v>
      </c>
      <c r="E78" s="235">
        <v>1</v>
      </c>
      <c r="F78" s="236">
        <v>1.62</v>
      </c>
      <c r="G78" s="236"/>
      <c r="H78" s="268">
        <v>2.95</v>
      </c>
      <c r="I78" s="242">
        <v>1</v>
      </c>
      <c r="J78" s="237"/>
      <c r="K78" s="237">
        <f t="shared" si="3"/>
        <v>4.7790000000000008</v>
      </c>
      <c r="L78" s="111"/>
      <c r="M78" s="111"/>
      <c r="N78" s="111"/>
      <c r="O78" s="111"/>
    </row>
    <row r="79" spans="2:15" x14ac:dyDescent="0.3">
      <c r="B79" s="106"/>
      <c r="C79" s="115" t="s">
        <v>941</v>
      </c>
      <c r="D79" s="144"/>
      <c r="E79" s="3"/>
      <c r="F79" s="122"/>
      <c r="G79" s="122"/>
      <c r="H79" s="113"/>
      <c r="I79" s="119"/>
      <c r="J79" s="113"/>
      <c r="K79" s="113"/>
      <c r="L79" s="113"/>
      <c r="M79" s="113"/>
      <c r="N79" s="113"/>
      <c r="O79" s="113"/>
    </row>
    <row r="80" spans="2:15" x14ac:dyDescent="0.3">
      <c r="B80" s="114"/>
      <c r="C80" s="233" t="s">
        <v>962</v>
      </c>
      <c r="D80" s="239" t="s">
        <v>0</v>
      </c>
      <c r="E80" s="235">
        <v>-1</v>
      </c>
      <c r="F80" s="236">
        <v>2.58</v>
      </c>
      <c r="G80" s="236"/>
      <c r="H80" s="268">
        <v>1.75</v>
      </c>
      <c r="I80" s="242">
        <v>1</v>
      </c>
      <c r="J80" s="237"/>
      <c r="K80" s="237">
        <f>IF(E80="","",PRODUCT(E80:I80))</f>
        <v>-4.5150000000000006</v>
      </c>
      <c r="L80" s="111"/>
      <c r="M80" s="111"/>
      <c r="N80" s="111"/>
      <c r="O80" s="111"/>
    </row>
    <row r="81" spans="2:15" x14ac:dyDescent="0.3">
      <c r="B81" s="114"/>
      <c r="C81" s="233" t="s">
        <v>951</v>
      </c>
      <c r="D81" s="239" t="s">
        <v>0</v>
      </c>
      <c r="E81" s="235">
        <v>-2</v>
      </c>
      <c r="F81" s="236">
        <v>1.62</v>
      </c>
      <c r="G81" s="236"/>
      <c r="H81" s="268">
        <v>1.75</v>
      </c>
      <c r="I81" s="242">
        <v>1</v>
      </c>
      <c r="J81" s="237"/>
      <c r="K81" s="237">
        <f>IF(E81="","",PRODUCT(E81:I81))</f>
        <v>-5.67</v>
      </c>
      <c r="L81" s="111"/>
      <c r="M81" s="111"/>
      <c r="N81" s="111"/>
      <c r="O81" s="111"/>
    </row>
    <row r="82" spans="2:15" x14ac:dyDescent="0.3">
      <c r="B82" s="114"/>
      <c r="C82" s="233" t="s">
        <v>963</v>
      </c>
      <c r="D82" s="239" t="s">
        <v>0</v>
      </c>
      <c r="E82" s="235">
        <v>-2</v>
      </c>
      <c r="F82" s="236">
        <v>1.2</v>
      </c>
      <c r="G82" s="236"/>
      <c r="H82" s="268">
        <v>0.85</v>
      </c>
      <c r="I82" s="242">
        <v>1</v>
      </c>
      <c r="J82" s="237"/>
      <c r="K82" s="237">
        <f>IF(E82="","",PRODUCT(E82:I82))</f>
        <v>-2.04</v>
      </c>
      <c r="L82" s="111"/>
      <c r="M82" s="111"/>
      <c r="N82" s="111"/>
      <c r="O82" s="111"/>
    </row>
    <row r="83" spans="2:15" x14ac:dyDescent="0.3">
      <c r="B83" s="114"/>
      <c r="C83" s="265"/>
      <c r="D83" s="108"/>
      <c r="E83" s="109"/>
      <c r="F83" s="110"/>
      <c r="G83" s="110"/>
      <c r="H83" s="150"/>
      <c r="I83" s="112"/>
      <c r="J83" s="111"/>
      <c r="K83" s="111"/>
      <c r="L83" s="111"/>
      <c r="M83" s="111"/>
      <c r="N83" s="111"/>
      <c r="O83" s="111"/>
    </row>
    <row r="84" spans="2:15" x14ac:dyDescent="0.3">
      <c r="B84" s="118"/>
      <c r="C84" s="301" t="s">
        <v>160</v>
      </c>
      <c r="D84" s="138"/>
      <c r="E84" s="1"/>
      <c r="F84" s="2"/>
      <c r="G84" s="2"/>
      <c r="H84" s="302"/>
      <c r="I84" s="119"/>
      <c r="J84" s="113"/>
      <c r="K84" s="113"/>
      <c r="L84" s="113"/>
      <c r="M84" s="113"/>
      <c r="N84" s="113"/>
      <c r="O84" s="113"/>
    </row>
    <row r="85" spans="2:15" x14ac:dyDescent="0.3">
      <c r="B85" s="106"/>
      <c r="C85" s="115" t="s">
        <v>127</v>
      </c>
      <c r="D85" s="144"/>
      <c r="E85" s="3"/>
      <c r="F85" s="122"/>
      <c r="G85" s="122"/>
      <c r="H85" s="113"/>
      <c r="I85" s="119"/>
      <c r="J85" s="113"/>
      <c r="K85" s="113"/>
      <c r="L85" s="113"/>
      <c r="M85" s="113"/>
      <c r="N85" s="113"/>
      <c r="O85" s="113"/>
    </row>
    <row r="86" spans="2:15" x14ac:dyDescent="0.3">
      <c r="B86" s="114"/>
      <c r="C86" s="266" t="s">
        <v>964</v>
      </c>
      <c r="D86" s="269" t="s">
        <v>0</v>
      </c>
      <c r="E86" s="270">
        <v>1</v>
      </c>
      <c r="F86" s="268">
        <v>4.3</v>
      </c>
      <c r="G86" s="268"/>
      <c r="H86" s="268">
        <v>2.85</v>
      </c>
      <c r="I86" s="270">
        <v>1</v>
      </c>
      <c r="J86" s="268"/>
      <c r="K86" s="237">
        <f>IF(E86="","",PRODUCT(E86:I86))</f>
        <v>12.254999999999999</v>
      </c>
      <c r="L86" s="111"/>
      <c r="M86" s="111"/>
      <c r="N86" s="111"/>
      <c r="O86" s="111"/>
    </row>
    <row r="87" spans="2:15" x14ac:dyDescent="0.3">
      <c r="B87" s="106"/>
      <c r="C87" s="115" t="s">
        <v>68</v>
      </c>
      <c r="D87" s="144"/>
      <c r="E87" s="3"/>
      <c r="F87" s="122"/>
      <c r="G87" s="122"/>
      <c r="H87" s="113"/>
      <c r="I87" s="119"/>
      <c r="J87" s="113"/>
      <c r="K87" s="113"/>
      <c r="L87" s="113"/>
      <c r="M87" s="113"/>
      <c r="N87" s="113"/>
      <c r="O87" s="113"/>
    </row>
    <row r="88" spans="2:15" x14ac:dyDescent="0.3">
      <c r="B88" s="114"/>
      <c r="C88" s="233" t="s">
        <v>964</v>
      </c>
      <c r="D88" s="239" t="s">
        <v>0</v>
      </c>
      <c r="E88" s="235">
        <v>1</v>
      </c>
      <c r="F88" s="236">
        <v>4.1500000000000004</v>
      </c>
      <c r="G88" s="236"/>
      <c r="H88" s="268">
        <v>2.85</v>
      </c>
      <c r="I88" s="242">
        <v>1</v>
      </c>
      <c r="J88" s="237"/>
      <c r="K88" s="237">
        <f>IF(E88="","",PRODUCT(E88:I88))</f>
        <v>11.827500000000001</v>
      </c>
      <c r="L88" s="111"/>
      <c r="M88" s="111"/>
      <c r="N88" s="111"/>
      <c r="O88" s="111"/>
    </row>
    <row r="89" spans="2:15" x14ac:dyDescent="0.3">
      <c r="B89" s="106"/>
      <c r="C89" s="115" t="s">
        <v>106</v>
      </c>
      <c r="D89" s="144"/>
      <c r="E89" s="3"/>
      <c r="F89" s="122"/>
      <c r="G89" s="122"/>
      <c r="H89" s="113"/>
      <c r="I89" s="119"/>
      <c r="J89" s="113"/>
      <c r="K89" s="113"/>
      <c r="L89" s="113"/>
      <c r="M89" s="113"/>
      <c r="N89" s="113"/>
      <c r="O89" s="113"/>
    </row>
    <row r="90" spans="2:15" x14ac:dyDescent="0.3">
      <c r="B90" s="106"/>
      <c r="C90" s="233" t="s">
        <v>964</v>
      </c>
      <c r="D90" s="239" t="s">
        <v>0</v>
      </c>
      <c r="E90" s="235">
        <v>1</v>
      </c>
      <c r="F90" s="236">
        <v>4.1500000000000004</v>
      </c>
      <c r="G90" s="236"/>
      <c r="H90" s="268">
        <v>2.85</v>
      </c>
      <c r="I90" s="242">
        <v>1</v>
      </c>
      <c r="J90" s="237"/>
      <c r="K90" s="237">
        <f>IF(E90="","",PRODUCT(E90:I90))</f>
        <v>11.827500000000001</v>
      </c>
      <c r="L90" s="113"/>
      <c r="M90" s="113"/>
      <c r="N90" s="113"/>
      <c r="O90" s="113"/>
    </row>
    <row r="91" spans="2:15" x14ac:dyDescent="0.3">
      <c r="B91" s="106"/>
      <c r="C91" s="265"/>
      <c r="D91" s="108"/>
      <c r="E91" s="109"/>
      <c r="F91" s="110"/>
      <c r="G91" s="110"/>
      <c r="H91" s="150"/>
      <c r="I91" s="112"/>
      <c r="J91" s="111"/>
      <c r="K91" s="111"/>
      <c r="L91" s="113"/>
      <c r="M91" s="113"/>
      <c r="N91" s="113"/>
      <c r="O91" s="113"/>
    </row>
    <row r="92" spans="2:15" x14ac:dyDescent="0.3">
      <c r="B92" s="118"/>
      <c r="C92" s="137" t="s">
        <v>865</v>
      </c>
      <c r="D92" s="138"/>
      <c r="E92" s="1"/>
      <c r="F92" s="2"/>
      <c r="G92" s="2"/>
      <c r="H92" s="302"/>
      <c r="I92" s="119"/>
      <c r="J92" s="113"/>
      <c r="K92" s="113"/>
      <c r="L92" s="113"/>
      <c r="M92" s="113"/>
      <c r="N92" s="113"/>
      <c r="O92" s="113"/>
    </row>
    <row r="93" spans="2:15" x14ac:dyDescent="0.3">
      <c r="B93" s="106"/>
      <c r="C93" s="115" t="s">
        <v>127</v>
      </c>
      <c r="D93" s="144"/>
      <c r="E93" s="3"/>
      <c r="F93" s="122"/>
      <c r="G93" s="122"/>
      <c r="H93" s="113"/>
      <c r="I93" s="119"/>
      <c r="J93" s="113"/>
      <c r="K93" s="113"/>
      <c r="L93" s="113"/>
      <c r="M93" s="113"/>
      <c r="N93" s="113"/>
      <c r="O93" s="113"/>
    </row>
    <row r="94" spans="2:15" x14ac:dyDescent="0.3">
      <c r="B94" s="114"/>
      <c r="C94" s="266" t="s">
        <v>965</v>
      </c>
      <c r="D94" s="239" t="s">
        <v>0</v>
      </c>
      <c r="E94" s="235">
        <v>1</v>
      </c>
      <c r="F94" s="236">
        <v>2.95</v>
      </c>
      <c r="G94" s="236"/>
      <c r="H94" s="268">
        <v>2.95</v>
      </c>
      <c r="I94" s="242">
        <v>1</v>
      </c>
      <c r="J94" s="237"/>
      <c r="K94" s="237">
        <f t="shared" ref="K94:K99" si="4">IF(E94="","",PRODUCT(E94:I94))</f>
        <v>8.7025000000000006</v>
      </c>
      <c r="L94" s="111"/>
      <c r="M94" s="111"/>
      <c r="N94" s="111"/>
      <c r="O94" s="111"/>
    </row>
    <row r="95" spans="2:15" x14ac:dyDescent="0.3">
      <c r="B95" s="114"/>
      <c r="C95" s="266" t="s">
        <v>965</v>
      </c>
      <c r="D95" s="239" t="s">
        <v>0</v>
      </c>
      <c r="E95" s="235">
        <v>1</v>
      </c>
      <c r="F95" s="236">
        <v>4.3</v>
      </c>
      <c r="G95" s="236"/>
      <c r="H95" s="268">
        <v>2.95</v>
      </c>
      <c r="I95" s="242">
        <v>1</v>
      </c>
      <c r="J95" s="237"/>
      <c r="K95" s="237">
        <f t="shared" si="4"/>
        <v>12.685</v>
      </c>
      <c r="L95" s="111"/>
      <c r="M95" s="111"/>
      <c r="N95" s="111"/>
      <c r="O95" s="111"/>
    </row>
    <row r="96" spans="2:15" x14ac:dyDescent="0.3">
      <c r="B96" s="114"/>
      <c r="C96" s="233" t="s">
        <v>966</v>
      </c>
      <c r="D96" s="239" t="s">
        <v>0</v>
      </c>
      <c r="E96" s="235">
        <v>3</v>
      </c>
      <c r="F96" s="236">
        <v>0.35</v>
      </c>
      <c r="G96" s="236"/>
      <c r="H96" s="237">
        <v>1.8</v>
      </c>
      <c r="I96" s="242">
        <v>2</v>
      </c>
      <c r="J96" s="237"/>
      <c r="K96" s="237">
        <f t="shared" si="4"/>
        <v>3.7799999999999994</v>
      </c>
      <c r="L96" s="111"/>
      <c r="M96" s="111"/>
      <c r="N96" s="111"/>
      <c r="O96" s="111"/>
    </row>
    <row r="97" spans="2:15" x14ac:dyDescent="0.3">
      <c r="B97" s="114"/>
      <c r="C97" s="233" t="s">
        <v>966</v>
      </c>
      <c r="D97" s="239" t="s">
        <v>0</v>
      </c>
      <c r="E97" s="235">
        <v>3</v>
      </c>
      <c r="F97" s="236">
        <f>0.45+0.35</f>
        <v>0.8</v>
      </c>
      <c r="G97" s="236"/>
      <c r="H97" s="237">
        <v>1.8</v>
      </c>
      <c r="I97" s="242">
        <v>1</v>
      </c>
      <c r="J97" s="237"/>
      <c r="K97" s="237">
        <f t="shared" si="4"/>
        <v>4.3200000000000012</v>
      </c>
      <c r="L97" s="111"/>
      <c r="M97" s="111"/>
      <c r="N97" s="111"/>
      <c r="O97" s="111"/>
    </row>
    <row r="98" spans="2:15" x14ac:dyDescent="0.3">
      <c r="B98" s="114"/>
      <c r="C98" s="233" t="s">
        <v>966</v>
      </c>
      <c r="D98" s="239" t="s">
        <v>0</v>
      </c>
      <c r="E98" s="235">
        <v>3</v>
      </c>
      <c r="F98" s="236">
        <f>0.75+0.65</f>
        <v>1.4</v>
      </c>
      <c r="G98" s="236"/>
      <c r="H98" s="237">
        <v>1.8</v>
      </c>
      <c r="I98" s="242">
        <v>1</v>
      </c>
      <c r="J98" s="237"/>
      <c r="K98" s="237">
        <f t="shared" si="4"/>
        <v>7.5599999999999987</v>
      </c>
      <c r="L98" s="111"/>
      <c r="M98" s="111"/>
      <c r="N98" s="111"/>
      <c r="O98" s="111"/>
    </row>
    <row r="99" spans="2:15" x14ac:dyDescent="0.3">
      <c r="B99" s="114"/>
      <c r="C99" s="233" t="s">
        <v>966</v>
      </c>
      <c r="D99" s="239" t="s">
        <v>0</v>
      </c>
      <c r="E99" s="235">
        <v>3</v>
      </c>
      <c r="F99" s="236">
        <v>0.35</v>
      </c>
      <c r="G99" s="236"/>
      <c r="H99" s="237">
        <v>1.8</v>
      </c>
      <c r="I99" s="242">
        <v>2</v>
      </c>
      <c r="J99" s="237"/>
      <c r="K99" s="237">
        <f t="shared" si="4"/>
        <v>3.7799999999999994</v>
      </c>
      <c r="L99" s="111"/>
      <c r="M99" s="111"/>
      <c r="N99" s="111"/>
      <c r="O99" s="111"/>
    </row>
    <row r="100" spans="2:15" x14ac:dyDescent="0.3">
      <c r="B100" s="106"/>
      <c r="C100" s="265"/>
      <c r="D100" s="108"/>
      <c r="E100" s="109"/>
      <c r="F100" s="110"/>
      <c r="G100" s="110"/>
      <c r="H100" s="150"/>
      <c r="I100" s="112"/>
      <c r="J100" s="111"/>
      <c r="K100" s="111"/>
      <c r="L100" s="113"/>
      <c r="M100" s="113"/>
      <c r="N100" s="113"/>
      <c r="O100" s="113"/>
    </row>
    <row r="101" spans="2:15" x14ac:dyDescent="0.3">
      <c r="B101" s="106"/>
      <c r="C101" s="123" t="s">
        <v>186</v>
      </c>
      <c r="D101" s="144"/>
      <c r="E101" s="3"/>
      <c r="F101" s="122"/>
      <c r="G101" s="122"/>
      <c r="H101" s="113"/>
      <c r="I101" s="119"/>
      <c r="J101" s="113"/>
      <c r="K101" s="113"/>
      <c r="L101" s="113"/>
      <c r="M101" s="113"/>
      <c r="N101" s="113"/>
      <c r="O101" s="113"/>
    </row>
    <row r="102" spans="2:15" x14ac:dyDescent="0.3">
      <c r="B102" s="106"/>
      <c r="C102" s="115" t="s">
        <v>127</v>
      </c>
      <c r="D102" s="144"/>
      <c r="E102" s="3"/>
      <c r="F102" s="122"/>
      <c r="G102" s="122"/>
      <c r="H102" s="113"/>
      <c r="I102" s="119"/>
      <c r="J102" s="113"/>
      <c r="K102" s="113"/>
      <c r="L102" s="113"/>
      <c r="M102" s="113"/>
      <c r="N102" s="113"/>
      <c r="O102" s="113"/>
    </row>
    <row r="103" spans="2:15" x14ac:dyDescent="0.3">
      <c r="B103" s="106"/>
      <c r="C103" s="233" t="s">
        <v>967</v>
      </c>
      <c r="D103" s="239" t="s">
        <v>0</v>
      </c>
      <c r="E103" s="235">
        <v>-1</v>
      </c>
      <c r="F103" s="236">
        <f>84.26-1-0.1*2-0.15*4-0.1*18</f>
        <v>80.660000000000011</v>
      </c>
      <c r="G103" s="236"/>
      <c r="H103" s="237">
        <v>1.8</v>
      </c>
      <c r="I103" s="242">
        <v>1</v>
      </c>
      <c r="J103" s="237"/>
      <c r="K103" s="237">
        <f>IF(E103="","",PRODUCT(E103:I103))</f>
        <v>-145.18800000000002</v>
      </c>
      <c r="L103" s="113"/>
      <c r="M103" s="113"/>
      <c r="N103" s="113"/>
      <c r="O103" s="113"/>
    </row>
    <row r="104" spans="2:15" x14ac:dyDescent="0.3">
      <c r="B104" s="114"/>
      <c r="C104" s="233"/>
      <c r="D104" s="239" t="s">
        <v>0</v>
      </c>
      <c r="E104" s="235">
        <v>-1</v>
      </c>
      <c r="F104" s="236">
        <f>35.4-1-0.1*2</f>
        <v>34.199999999999996</v>
      </c>
      <c r="G104" s="236"/>
      <c r="H104" s="237">
        <v>0.3</v>
      </c>
      <c r="I104" s="242">
        <v>1</v>
      </c>
      <c r="J104" s="237"/>
      <c r="K104" s="237">
        <f>IF(E104="","",PRODUCT(E104:I104))</f>
        <v>-10.259999999999998</v>
      </c>
      <c r="L104" s="111"/>
      <c r="M104" s="111"/>
      <c r="N104" s="111"/>
      <c r="O104" s="111"/>
    </row>
    <row r="105" spans="2:15" x14ac:dyDescent="0.3">
      <c r="B105" s="106"/>
      <c r="C105" s="115" t="s">
        <v>68</v>
      </c>
      <c r="D105" s="144"/>
      <c r="E105" s="3"/>
      <c r="F105" s="122"/>
      <c r="G105" s="122"/>
      <c r="H105" s="113"/>
      <c r="I105" s="119"/>
      <c r="J105" s="113"/>
      <c r="K105" s="113"/>
      <c r="L105" s="113"/>
      <c r="M105" s="113"/>
      <c r="N105" s="113"/>
      <c r="O105" s="113"/>
    </row>
    <row r="106" spans="2:15" x14ac:dyDescent="0.3">
      <c r="B106" s="114"/>
      <c r="C106" s="233" t="s">
        <v>683</v>
      </c>
      <c r="D106" s="239" t="s">
        <v>0</v>
      </c>
      <c r="E106" s="235">
        <v>-1</v>
      </c>
      <c r="F106" s="236">
        <f>18.6-0.9*2</f>
        <v>16.8</v>
      </c>
      <c r="G106" s="236"/>
      <c r="H106" s="237">
        <v>1.5</v>
      </c>
      <c r="I106" s="242">
        <v>1</v>
      </c>
      <c r="J106" s="237"/>
      <c r="K106" s="237">
        <f>IF(E106="","",PRODUCT(E106:I106))</f>
        <v>-25.200000000000003</v>
      </c>
      <c r="L106" s="111"/>
      <c r="M106" s="111"/>
      <c r="N106" s="111"/>
      <c r="O106" s="111"/>
    </row>
    <row r="107" spans="2:15" x14ac:dyDescent="0.3">
      <c r="B107" s="114"/>
      <c r="C107" s="233" t="s">
        <v>684</v>
      </c>
      <c r="D107" s="239" t="s">
        <v>0</v>
      </c>
      <c r="E107" s="235">
        <v>-1</v>
      </c>
      <c r="F107" s="236">
        <f>13.9-0.9</f>
        <v>13</v>
      </c>
      <c r="G107" s="236"/>
      <c r="H107" s="237">
        <v>1.5</v>
      </c>
      <c r="I107" s="242">
        <v>1</v>
      </c>
      <c r="J107" s="237"/>
      <c r="K107" s="237">
        <f>IF(E107="","",PRODUCT(E107:I107))</f>
        <v>-19.5</v>
      </c>
      <c r="L107" s="111"/>
      <c r="M107" s="111"/>
      <c r="N107" s="111"/>
      <c r="O107" s="111"/>
    </row>
    <row r="108" spans="2:15" x14ac:dyDescent="0.3">
      <c r="B108" s="114"/>
      <c r="C108" s="233" t="s">
        <v>968</v>
      </c>
      <c r="D108" s="239" t="s">
        <v>0</v>
      </c>
      <c r="E108" s="235">
        <v>-1</v>
      </c>
      <c r="F108" s="236">
        <f>4.5-1.15</f>
        <v>3.35</v>
      </c>
      <c r="G108" s="236"/>
      <c r="H108" s="237">
        <v>1.5</v>
      </c>
      <c r="I108" s="242">
        <v>1</v>
      </c>
      <c r="J108" s="237"/>
      <c r="K108" s="237">
        <f>IF(E108="","",PRODUCT(E108:I108))</f>
        <v>-5.0250000000000004</v>
      </c>
      <c r="L108" s="111"/>
      <c r="M108" s="111"/>
      <c r="N108" s="111"/>
      <c r="O108" s="111"/>
    </row>
    <row r="109" spans="2:15" x14ac:dyDescent="0.3">
      <c r="B109" s="114"/>
      <c r="C109" s="233" t="s">
        <v>195</v>
      </c>
      <c r="D109" s="239" t="s">
        <v>0</v>
      </c>
      <c r="E109" s="235">
        <v>-1</v>
      </c>
      <c r="F109" s="236">
        <f>5.16-0.7</f>
        <v>4.46</v>
      </c>
      <c r="G109" s="236"/>
      <c r="H109" s="237">
        <v>1.8</v>
      </c>
      <c r="I109" s="242">
        <v>1</v>
      </c>
      <c r="J109" s="237"/>
      <c r="K109" s="237">
        <f>IF(E109="","",PRODUCT(E109:I109))</f>
        <v>-8.0280000000000005</v>
      </c>
      <c r="L109" s="111"/>
      <c r="M109" s="111"/>
      <c r="N109" s="111"/>
      <c r="O109" s="111"/>
    </row>
    <row r="110" spans="2:15" x14ac:dyDescent="0.3">
      <c r="B110" s="114"/>
      <c r="C110" s="233" t="s">
        <v>969</v>
      </c>
      <c r="D110" s="239" t="s">
        <v>0</v>
      </c>
      <c r="E110" s="235">
        <v>-1</v>
      </c>
      <c r="F110" s="236">
        <v>2.8</v>
      </c>
      <c r="G110" s="236"/>
      <c r="H110" s="237">
        <v>1.5</v>
      </c>
      <c r="I110" s="242">
        <v>1</v>
      </c>
      <c r="J110" s="237"/>
      <c r="K110" s="237">
        <f>IF(E110="","",PRODUCT(E110:I110))</f>
        <v>-4.1999999999999993</v>
      </c>
      <c r="L110" s="111"/>
      <c r="M110" s="111"/>
      <c r="N110" s="111"/>
      <c r="O110" s="111"/>
    </row>
    <row r="111" spans="2:15" x14ac:dyDescent="0.3">
      <c r="B111" s="114"/>
      <c r="C111" s="115" t="s">
        <v>106</v>
      </c>
      <c r="D111" s="144"/>
      <c r="E111" s="3"/>
      <c r="F111" s="122"/>
      <c r="G111" s="122"/>
      <c r="H111" s="113"/>
      <c r="I111" s="119"/>
      <c r="J111" s="113"/>
      <c r="K111" s="113"/>
      <c r="L111" s="111"/>
      <c r="M111" s="111"/>
      <c r="N111" s="111"/>
      <c r="O111" s="111"/>
    </row>
    <row r="112" spans="2:15" x14ac:dyDescent="0.3">
      <c r="B112" s="114"/>
      <c r="C112" s="233" t="s">
        <v>195</v>
      </c>
      <c r="D112" s="239" t="s">
        <v>0</v>
      </c>
      <c r="E112" s="235">
        <v>-1</v>
      </c>
      <c r="F112" s="236">
        <f>7.75-0.85</f>
        <v>6.9</v>
      </c>
      <c r="G112" s="236"/>
      <c r="H112" s="237">
        <v>2.1</v>
      </c>
      <c r="I112" s="242">
        <v>1</v>
      </c>
      <c r="J112" s="237"/>
      <c r="K112" s="237">
        <f>IF(E112="","",PRODUCT(E112:I112))</f>
        <v>-14.490000000000002</v>
      </c>
      <c r="L112" s="111"/>
      <c r="M112" s="111"/>
      <c r="N112" s="111"/>
      <c r="O112" s="111"/>
    </row>
    <row r="113" spans="2:15" x14ac:dyDescent="0.3">
      <c r="B113" s="106"/>
      <c r="C113" s="115"/>
      <c r="D113" s="144"/>
      <c r="E113" s="3"/>
      <c r="F113" s="122"/>
      <c r="G113" s="122"/>
      <c r="H113" s="113"/>
      <c r="I113" s="119"/>
      <c r="J113" s="113"/>
      <c r="K113" s="113"/>
      <c r="L113" s="113"/>
      <c r="M113" s="113"/>
      <c r="N113" s="113"/>
      <c r="O113" s="113"/>
    </row>
    <row r="114" spans="2:15" x14ac:dyDescent="0.3">
      <c r="B114" s="99" t="s">
        <v>1181</v>
      </c>
      <c r="C114" s="226" t="s">
        <v>970</v>
      </c>
      <c r="D114" s="132" t="s">
        <v>0</v>
      </c>
      <c r="E114" s="1"/>
      <c r="F114" s="2"/>
      <c r="G114" s="2"/>
      <c r="H114" s="206"/>
      <c r="I114" s="102"/>
      <c r="J114" s="103"/>
      <c r="K114" s="103"/>
      <c r="L114" s="103"/>
      <c r="M114" s="103"/>
      <c r="N114" s="103"/>
      <c r="O114" s="103">
        <f>SUM(K115:K143)</f>
        <v>183.37549999999999</v>
      </c>
    </row>
    <row r="115" spans="2:15" x14ac:dyDescent="0.3">
      <c r="B115" s="118"/>
      <c r="C115" s="301" t="s">
        <v>174</v>
      </c>
      <c r="D115" s="138"/>
      <c r="E115" s="1"/>
      <c r="F115" s="2"/>
      <c r="G115" s="2"/>
      <c r="H115" s="302"/>
      <c r="I115" s="119"/>
      <c r="J115" s="113"/>
      <c r="K115" s="113"/>
      <c r="L115" s="113"/>
      <c r="M115" s="113"/>
      <c r="N115" s="113"/>
      <c r="O115" s="113"/>
    </row>
    <row r="116" spans="2:15" x14ac:dyDescent="0.3">
      <c r="B116" s="106"/>
      <c r="C116" s="115" t="s">
        <v>127</v>
      </c>
      <c r="D116" s="144"/>
      <c r="E116" s="3"/>
      <c r="F116" s="122"/>
      <c r="G116" s="122"/>
      <c r="H116" s="113"/>
      <c r="I116" s="119"/>
      <c r="J116" s="113"/>
      <c r="K116" s="113"/>
      <c r="L116" s="113"/>
      <c r="M116" s="113"/>
      <c r="N116" s="113"/>
      <c r="O116" s="113"/>
    </row>
    <row r="117" spans="2:15" x14ac:dyDescent="0.3">
      <c r="B117" s="114"/>
      <c r="C117" s="233" t="s">
        <v>971</v>
      </c>
      <c r="D117" s="239" t="s">
        <v>0</v>
      </c>
      <c r="E117" s="235">
        <v>1</v>
      </c>
      <c r="F117" s="236">
        <v>3.35</v>
      </c>
      <c r="G117" s="236"/>
      <c r="H117" s="268">
        <v>2.95</v>
      </c>
      <c r="I117" s="242">
        <v>1</v>
      </c>
      <c r="J117" s="237"/>
      <c r="K117" s="237">
        <f>IF(E117="","",PRODUCT(E117:I117))</f>
        <v>9.8825000000000003</v>
      </c>
      <c r="L117" s="111"/>
      <c r="M117" s="111"/>
      <c r="N117" s="111"/>
      <c r="O117" s="111"/>
    </row>
    <row r="118" spans="2:15" x14ac:dyDescent="0.3">
      <c r="B118" s="114"/>
      <c r="C118" s="233" t="s">
        <v>938</v>
      </c>
      <c r="D118" s="239" t="s">
        <v>0</v>
      </c>
      <c r="E118" s="235">
        <v>1</v>
      </c>
      <c r="F118" s="236">
        <f>0.62</f>
        <v>0.62</v>
      </c>
      <c r="G118" s="236"/>
      <c r="H118" s="268">
        <v>2.95</v>
      </c>
      <c r="I118" s="242">
        <v>1</v>
      </c>
      <c r="J118" s="237"/>
      <c r="K118" s="237">
        <f>IF(E118="","",PRODUCT(E118:I118))</f>
        <v>1.8290000000000002</v>
      </c>
      <c r="L118" s="111"/>
      <c r="M118" s="111"/>
      <c r="N118" s="111"/>
      <c r="O118" s="111"/>
    </row>
    <row r="119" spans="2:15" x14ac:dyDescent="0.3">
      <c r="B119" s="114"/>
      <c r="C119" s="233" t="s">
        <v>933</v>
      </c>
      <c r="D119" s="239" t="s">
        <v>0</v>
      </c>
      <c r="E119" s="235">
        <v>1</v>
      </c>
      <c r="F119" s="236">
        <v>2.95</v>
      </c>
      <c r="G119" s="236"/>
      <c r="H119" s="268">
        <v>2.95</v>
      </c>
      <c r="I119" s="242">
        <v>1</v>
      </c>
      <c r="J119" s="237"/>
      <c r="K119" s="237">
        <f>IF(E119="","",PRODUCT(E119:I119))</f>
        <v>8.7025000000000006</v>
      </c>
      <c r="L119" s="111"/>
      <c r="M119" s="111"/>
      <c r="N119" s="111"/>
      <c r="O119" s="111"/>
    </row>
    <row r="120" spans="2:15" x14ac:dyDescent="0.3">
      <c r="B120" s="106"/>
      <c r="C120" s="227" t="s">
        <v>941</v>
      </c>
      <c r="D120" s="262"/>
      <c r="E120" s="229"/>
      <c r="F120" s="230"/>
      <c r="G120" s="230"/>
      <c r="H120" s="274"/>
      <c r="I120" s="277"/>
      <c r="J120" s="231"/>
      <c r="K120" s="231"/>
      <c r="L120" s="113"/>
      <c r="M120" s="113"/>
      <c r="N120" s="113"/>
      <c r="O120" s="113"/>
    </row>
    <row r="121" spans="2:15" x14ac:dyDescent="0.3">
      <c r="B121" s="114"/>
      <c r="C121" s="233" t="s">
        <v>88</v>
      </c>
      <c r="D121" s="239" t="s">
        <v>0</v>
      </c>
      <c r="E121" s="235">
        <v>-1</v>
      </c>
      <c r="F121" s="236">
        <v>2.95</v>
      </c>
      <c r="G121" s="236"/>
      <c r="H121" s="268">
        <v>0.85</v>
      </c>
      <c r="I121" s="242">
        <v>1</v>
      </c>
      <c r="J121" s="237"/>
      <c r="K121" s="237">
        <f>IF(E121="","",PRODUCT(E121:I121))</f>
        <v>-2.5075000000000003</v>
      </c>
      <c r="L121" s="111"/>
      <c r="M121" s="111"/>
      <c r="N121" s="111"/>
      <c r="O121" s="111"/>
    </row>
    <row r="122" spans="2:15" x14ac:dyDescent="0.3">
      <c r="B122" s="114"/>
      <c r="C122" s="233" t="s">
        <v>87</v>
      </c>
      <c r="D122" s="239" t="s">
        <v>0</v>
      </c>
      <c r="E122" s="235">
        <v>-1</v>
      </c>
      <c r="F122" s="236">
        <v>0.62</v>
      </c>
      <c r="G122" s="236"/>
      <c r="H122" s="268">
        <v>0.85</v>
      </c>
      <c r="I122" s="242">
        <v>1</v>
      </c>
      <c r="J122" s="237"/>
      <c r="K122" s="237">
        <f>IF(E122="","",PRODUCT(E122:I122))</f>
        <v>-0.52700000000000002</v>
      </c>
      <c r="L122" s="111"/>
      <c r="M122" s="111"/>
      <c r="N122" s="111"/>
      <c r="O122" s="111"/>
    </row>
    <row r="123" spans="2:15" x14ac:dyDescent="0.3">
      <c r="B123" s="106"/>
      <c r="C123" s="115" t="s">
        <v>68</v>
      </c>
      <c r="D123" s="144"/>
      <c r="E123" s="3"/>
      <c r="F123" s="122"/>
      <c r="G123" s="122"/>
      <c r="H123" s="103"/>
      <c r="I123" s="119"/>
      <c r="J123" s="113"/>
      <c r="K123" s="113"/>
      <c r="L123" s="113"/>
      <c r="M123" s="113"/>
      <c r="N123" s="113"/>
      <c r="O123" s="113"/>
    </row>
    <row r="124" spans="2:15" x14ac:dyDescent="0.3">
      <c r="B124" s="106"/>
      <c r="C124" s="233" t="s">
        <v>949</v>
      </c>
      <c r="D124" s="239" t="s">
        <v>0</v>
      </c>
      <c r="E124" s="235">
        <v>1</v>
      </c>
      <c r="F124" s="236">
        <v>0.78</v>
      </c>
      <c r="G124" s="236"/>
      <c r="H124" s="268">
        <v>2.85</v>
      </c>
      <c r="I124" s="242">
        <v>1</v>
      </c>
      <c r="J124" s="237"/>
      <c r="K124" s="237">
        <f>IF(E124="","",PRODUCT(E124:I124))</f>
        <v>2.2230000000000003</v>
      </c>
      <c r="L124" s="113"/>
      <c r="M124" s="113"/>
      <c r="N124" s="113"/>
      <c r="O124" s="113"/>
    </row>
    <row r="125" spans="2:15" x14ac:dyDescent="0.3">
      <c r="B125" s="106"/>
      <c r="C125" s="233" t="s">
        <v>972</v>
      </c>
      <c r="D125" s="239" t="s">
        <v>0</v>
      </c>
      <c r="E125" s="235">
        <v>1</v>
      </c>
      <c r="F125" s="236">
        <v>1.4</v>
      </c>
      <c r="G125" s="236"/>
      <c r="H125" s="268">
        <v>2.85</v>
      </c>
      <c r="I125" s="242">
        <v>1</v>
      </c>
      <c r="J125" s="237"/>
      <c r="K125" s="237">
        <f>IF(E125="","",PRODUCT(E125:I125))</f>
        <v>3.9899999999999998</v>
      </c>
      <c r="L125" s="113"/>
      <c r="M125" s="113"/>
      <c r="N125" s="113"/>
      <c r="O125" s="113"/>
    </row>
    <row r="126" spans="2:15" x14ac:dyDescent="0.3">
      <c r="B126" s="114"/>
      <c r="C126" s="233" t="s">
        <v>937</v>
      </c>
      <c r="D126" s="239" t="s">
        <v>0</v>
      </c>
      <c r="E126" s="235">
        <v>1</v>
      </c>
      <c r="F126" s="236">
        <v>2.58</v>
      </c>
      <c r="G126" s="236"/>
      <c r="H126" s="268">
        <v>2.95</v>
      </c>
      <c r="I126" s="242">
        <v>1</v>
      </c>
      <c r="J126" s="237"/>
      <c r="K126" s="237">
        <f>IF(E126="","",PRODUCT(E126:I126))</f>
        <v>7.6110000000000007</v>
      </c>
      <c r="L126" s="111"/>
      <c r="M126" s="111"/>
      <c r="N126" s="111"/>
      <c r="O126" s="111"/>
    </row>
    <row r="127" spans="2:15" x14ac:dyDescent="0.3">
      <c r="B127" s="114"/>
      <c r="C127" s="233" t="s">
        <v>938</v>
      </c>
      <c r="D127" s="239" t="s">
        <v>0</v>
      </c>
      <c r="E127" s="235">
        <v>1</v>
      </c>
      <c r="F127" s="236">
        <v>1.62</v>
      </c>
      <c r="G127" s="236"/>
      <c r="H127" s="268">
        <v>2.95</v>
      </c>
      <c r="I127" s="242">
        <v>1</v>
      </c>
      <c r="J127" s="237"/>
      <c r="K127" s="237">
        <f>IF(E127="","",PRODUCT(E127:I127))</f>
        <v>4.7790000000000008</v>
      </c>
      <c r="L127" s="111"/>
      <c r="M127" s="111"/>
      <c r="N127" s="111"/>
      <c r="O127" s="111"/>
    </row>
    <row r="128" spans="2:15" x14ac:dyDescent="0.3">
      <c r="B128" s="106"/>
      <c r="C128" s="115" t="s">
        <v>941</v>
      </c>
      <c r="D128" s="144"/>
      <c r="E128" s="3"/>
      <c r="F128" s="122"/>
      <c r="G128" s="122"/>
      <c r="H128" s="113"/>
      <c r="I128" s="119"/>
      <c r="J128" s="113"/>
      <c r="K128" s="113"/>
      <c r="L128" s="113"/>
      <c r="M128" s="113"/>
      <c r="N128" s="113"/>
      <c r="O128" s="113"/>
    </row>
    <row r="129" spans="2:15" x14ac:dyDescent="0.3">
      <c r="B129" s="114"/>
      <c r="C129" s="233" t="s">
        <v>973</v>
      </c>
      <c r="D129" s="239" t="s">
        <v>0</v>
      </c>
      <c r="E129" s="235">
        <v>-1</v>
      </c>
      <c r="F129" s="236">
        <v>0.63</v>
      </c>
      <c r="G129" s="236"/>
      <c r="H129" s="268">
        <v>0.85</v>
      </c>
      <c r="I129" s="242">
        <v>1</v>
      </c>
      <c r="J129" s="237"/>
      <c r="K129" s="237">
        <f>IF(E129="","",PRODUCT(E129:I129))</f>
        <v>-0.53549999999999998</v>
      </c>
      <c r="L129" s="111"/>
      <c r="M129" s="111"/>
      <c r="N129" s="111"/>
      <c r="O129" s="111"/>
    </row>
    <row r="130" spans="2:15" x14ac:dyDescent="0.3">
      <c r="B130" s="114"/>
      <c r="C130" s="233" t="s">
        <v>942</v>
      </c>
      <c r="D130" s="239" t="s">
        <v>0</v>
      </c>
      <c r="E130" s="235">
        <v>-1</v>
      </c>
      <c r="F130" s="236">
        <v>1.62</v>
      </c>
      <c r="G130" s="236"/>
      <c r="H130" s="268">
        <v>0.85</v>
      </c>
      <c r="I130" s="242">
        <v>1</v>
      </c>
      <c r="J130" s="237"/>
      <c r="K130" s="237">
        <f>IF(E130="","",PRODUCT(E130:I130))</f>
        <v>-1.377</v>
      </c>
      <c r="L130" s="111"/>
      <c r="M130" s="111"/>
      <c r="N130" s="111"/>
      <c r="O130" s="111"/>
    </row>
    <row r="131" spans="2:15" x14ac:dyDescent="0.3">
      <c r="B131" s="106"/>
      <c r="C131" s="115" t="s">
        <v>106</v>
      </c>
      <c r="D131" s="144"/>
      <c r="E131" s="3"/>
      <c r="F131" s="122"/>
      <c r="G131" s="122"/>
      <c r="H131" s="103"/>
      <c r="I131" s="119"/>
      <c r="J131" s="113"/>
      <c r="K131" s="113"/>
      <c r="L131" s="113"/>
      <c r="M131" s="113"/>
      <c r="N131" s="113"/>
      <c r="O131" s="113"/>
    </row>
    <row r="132" spans="2:15" x14ac:dyDescent="0.3">
      <c r="B132" s="114"/>
      <c r="C132" s="233" t="s">
        <v>974</v>
      </c>
      <c r="D132" s="239" t="s">
        <v>0</v>
      </c>
      <c r="E132" s="235">
        <v>1</v>
      </c>
      <c r="F132" s="236">
        <v>3.15</v>
      </c>
      <c r="G132" s="236"/>
      <c r="H132" s="268">
        <v>2.95</v>
      </c>
      <c r="I132" s="242">
        <v>1</v>
      </c>
      <c r="J132" s="237"/>
      <c r="K132" s="237">
        <f>IF(E132="","",PRODUCT(E132:I132))</f>
        <v>9.2925000000000004</v>
      </c>
      <c r="L132" s="111"/>
      <c r="M132" s="111"/>
      <c r="N132" s="111"/>
      <c r="O132" s="111"/>
    </row>
    <row r="133" spans="2:15" x14ac:dyDescent="0.3">
      <c r="B133" s="114"/>
      <c r="C133" s="233" t="s">
        <v>975</v>
      </c>
      <c r="D133" s="239" t="s">
        <v>0</v>
      </c>
      <c r="E133" s="235">
        <v>1</v>
      </c>
      <c r="F133" s="236">
        <v>1.2</v>
      </c>
      <c r="G133" s="236"/>
      <c r="H133" s="268">
        <v>2.95</v>
      </c>
      <c r="I133" s="242">
        <v>1</v>
      </c>
      <c r="J133" s="237"/>
      <c r="K133" s="237">
        <f>IF(E133="","",PRODUCT(E133:I133))</f>
        <v>3.54</v>
      </c>
      <c r="L133" s="111"/>
      <c r="M133" s="111"/>
      <c r="N133" s="111"/>
      <c r="O133" s="111"/>
    </row>
    <row r="134" spans="2:15" x14ac:dyDescent="0.3">
      <c r="B134" s="114"/>
      <c r="C134" s="233" t="s">
        <v>976</v>
      </c>
      <c r="D134" s="239" t="s">
        <v>0</v>
      </c>
      <c r="E134" s="235">
        <v>1</v>
      </c>
      <c r="F134" s="236">
        <v>1.2</v>
      </c>
      <c r="G134" s="236"/>
      <c r="H134" s="268">
        <v>2.95</v>
      </c>
      <c r="I134" s="242">
        <v>1</v>
      </c>
      <c r="J134" s="237"/>
      <c r="K134" s="237">
        <f>IF(E134="","",PRODUCT(E134:I134))</f>
        <v>3.54</v>
      </c>
      <c r="L134" s="111"/>
      <c r="M134" s="111"/>
      <c r="N134" s="111"/>
      <c r="O134" s="111"/>
    </row>
    <row r="135" spans="2:15" x14ac:dyDescent="0.3">
      <c r="B135" s="114"/>
      <c r="C135" s="233" t="s">
        <v>938</v>
      </c>
      <c r="D135" s="239" t="s">
        <v>0</v>
      </c>
      <c r="E135" s="235">
        <v>1</v>
      </c>
      <c r="F135" s="236">
        <v>1.62</v>
      </c>
      <c r="G135" s="236"/>
      <c r="H135" s="268">
        <v>2.95</v>
      </c>
      <c r="I135" s="242">
        <v>1</v>
      </c>
      <c r="J135" s="237"/>
      <c r="K135" s="237">
        <f>IF(E135="","",PRODUCT(E135:I135))</f>
        <v>4.7790000000000008</v>
      </c>
      <c r="L135" s="111"/>
      <c r="M135" s="111"/>
      <c r="N135" s="111"/>
      <c r="O135" s="111"/>
    </row>
    <row r="136" spans="2:15" x14ac:dyDescent="0.3">
      <c r="B136" s="106"/>
      <c r="C136" s="115" t="s">
        <v>941</v>
      </c>
      <c r="D136" s="144"/>
      <c r="E136" s="3"/>
      <c r="F136" s="122"/>
      <c r="G136" s="122"/>
      <c r="H136" s="103"/>
      <c r="I136" s="119"/>
      <c r="J136" s="113"/>
      <c r="K136" s="113"/>
      <c r="L136" s="113"/>
      <c r="M136" s="113"/>
      <c r="N136" s="113"/>
      <c r="O136" s="113"/>
    </row>
    <row r="137" spans="2:15" x14ac:dyDescent="0.3">
      <c r="B137" s="114"/>
      <c r="C137" s="233" t="s">
        <v>951</v>
      </c>
      <c r="D137" s="239" t="s">
        <v>0</v>
      </c>
      <c r="E137" s="235">
        <v>-1</v>
      </c>
      <c r="F137" s="236">
        <v>1.62</v>
      </c>
      <c r="G137" s="236"/>
      <c r="H137" s="268">
        <v>1.75</v>
      </c>
      <c r="I137" s="242">
        <v>1</v>
      </c>
      <c r="J137" s="237"/>
      <c r="K137" s="237">
        <f>IF(E137="","",PRODUCT(E137:I137))</f>
        <v>-2.835</v>
      </c>
      <c r="L137" s="111"/>
      <c r="M137" s="111"/>
      <c r="N137" s="111"/>
      <c r="O137" s="111"/>
    </row>
    <row r="138" spans="2:15" x14ac:dyDescent="0.3">
      <c r="B138" s="114"/>
      <c r="C138" s="233" t="s">
        <v>963</v>
      </c>
      <c r="D138" s="239" t="s">
        <v>0</v>
      </c>
      <c r="E138" s="235">
        <v>-1</v>
      </c>
      <c r="F138" s="236">
        <v>1.2</v>
      </c>
      <c r="G138" s="236"/>
      <c r="H138" s="268">
        <v>0.85</v>
      </c>
      <c r="I138" s="242">
        <v>1</v>
      </c>
      <c r="J138" s="237"/>
      <c r="K138" s="237">
        <f>IF(E138="","",PRODUCT(E138:I138))</f>
        <v>-1.02</v>
      </c>
      <c r="L138" s="111"/>
      <c r="M138" s="111"/>
      <c r="N138" s="111"/>
      <c r="O138" s="111"/>
    </row>
    <row r="139" spans="2:15" x14ac:dyDescent="0.3">
      <c r="B139" s="106"/>
      <c r="C139" s="115" t="s">
        <v>51</v>
      </c>
      <c r="D139" s="144"/>
      <c r="E139" s="3"/>
      <c r="F139" s="122"/>
      <c r="G139" s="122"/>
      <c r="H139" s="113"/>
      <c r="I139" s="119"/>
      <c r="J139" s="113"/>
      <c r="K139" s="113"/>
      <c r="L139" s="113"/>
      <c r="M139" s="113"/>
      <c r="N139" s="113"/>
      <c r="O139" s="113"/>
    </row>
    <row r="140" spans="2:15" x14ac:dyDescent="0.3">
      <c r="B140" s="114"/>
      <c r="C140" s="233" t="s">
        <v>977</v>
      </c>
      <c r="D140" s="239" t="s">
        <v>0</v>
      </c>
      <c r="E140" s="235">
        <v>1</v>
      </c>
      <c r="F140" s="236">
        <v>10.11</v>
      </c>
      <c r="G140" s="236"/>
      <c r="H140" s="268">
        <v>3.95</v>
      </c>
      <c r="I140" s="242">
        <v>2</v>
      </c>
      <c r="J140" s="237"/>
      <c r="K140" s="237">
        <f>IF(E140="","",PRODUCT(E140:I140))</f>
        <v>79.869</v>
      </c>
      <c r="L140" s="111"/>
      <c r="M140" s="111"/>
      <c r="N140" s="111"/>
      <c r="O140" s="111"/>
    </row>
    <row r="141" spans="2:15" x14ac:dyDescent="0.3">
      <c r="B141" s="114"/>
      <c r="C141" s="233" t="s">
        <v>978</v>
      </c>
      <c r="D141" s="239" t="s">
        <v>0</v>
      </c>
      <c r="E141" s="235">
        <v>1</v>
      </c>
      <c r="F141" s="236">
        <v>1.2</v>
      </c>
      <c r="G141" s="236"/>
      <c r="H141" s="268">
        <v>3.95</v>
      </c>
      <c r="I141" s="242">
        <v>2</v>
      </c>
      <c r="J141" s="237"/>
      <c r="K141" s="237">
        <f>IF(E141="","",PRODUCT(E141:I141))</f>
        <v>9.48</v>
      </c>
      <c r="L141" s="111"/>
      <c r="M141" s="111"/>
      <c r="N141" s="111"/>
      <c r="O141" s="111"/>
    </row>
    <row r="142" spans="2:15" x14ac:dyDescent="0.3">
      <c r="B142" s="114"/>
      <c r="C142" s="233" t="s">
        <v>979</v>
      </c>
      <c r="D142" s="239" t="s">
        <v>0</v>
      </c>
      <c r="E142" s="235">
        <v>1</v>
      </c>
      <c r="F142" s="236">
        <f>1.2+2.58+1.62</f>
        <v>5.4</v>
      </c>
      <c r="G142" s="236"/>
      <c r="H142" s="268">
        <v>3.95</v>
      </c>
      <c r="I142" s="242">
        <v>2</v>
      </c>
      <c r="J142" s="237"/>
      <c r="K142" s="237">
        <f>IF(E142="","",PRODUCT(E142:I142))</f>
        <v>42.660000000000004</v>
      </c>
      <c r="L142" s="111"/>
      <c r="M142" s="111"/>
      <c r="N142" s="111"/>
      <c r="O142" s="111"/>
    </row>
    <row r="143" spans="2:15" x14ac:dyDescent="0.3">
      <c r="B143" s="106"/>
      <c r="C143" s="115"/>
      <c r="D143" s="144"/>
      <c r="E143" s="3"/>
      <c r="F143" s="122"/>
      <c r="G143" s="122"/>
      <c r="H143" s="113"/>
      <c r="I143" s="119"/>
      <c r="J143" s="113"/>
      <c r="K143" s="113"/>
      <c r="L143" s="113"/>
      <c r="M143" s="113"/>
      <c r="N143" s="113"/>
      <c r="O143" s="113"/>
    </row>
    <row r="144" spans="2:15" x14ac:dyDescent="0.3">
      <c r="B144" s="99" t="s">
        <v>1182</v>
      </c>
      <c r="C144" s="226" t="s">
        <v>520</v>
      </c>
      <c r="D144" s="132" t="s">
        <v>0</v>
      </c>
      <c r="E144" s="1"/>
      <c r="F144" s="2"/>
      <c r="G144" s="2"/>
      <c r="H144" s="206"/>
      <c r="I144" s="102"/>
      <c r="J144" s="103"/>
      <c r="K144" s="103"/>
      <c r="L144" s="103"/>
      <c r="M144" s="103"/>
      <c r="N144" s="103"/>
      <c r="O144" s="103">
        <f>SUM(K145:K194)</f>
        <v>177.43649999999997</v>
      </c>
    </row>
    <row r="145" spans="2:15" x14ac:dyDescent="0.3">
      <c r="B145" s="106"/>
      <c r="C145" s="115" t="s">
        <v>127</v>
      </c>
      <c r="D145" s="144"/>
      <c r="E145" s="3"/>
      <c r="F145" s="122" t="s">
        <v>198</v>
      </c>
      <c r="G145" s="122"/>
      <c r="H145" s="113"/>
      <c r="I145" s="119"/>
      <c r="J145" s="113"/>
      <c r="K145" s="113"/>
      <c r="L145" s="113"/>
      <c r="M145" s="113"/>
      <c r="N145" s="113"/>
      <c r="O145" s="113"/>
    </row>
    <row r="146" spans="2:15" x14ac:dyDescent="0.3">
      <c r="B146" s="114"/>
      <c r="C146" s="233" t="s">
        <v>980</v>
      </c>
      <c r="D146" s="239" t="s">
        <v>0</v>
      </c>
      <c r="E146" s="235">
        <v>1</v>
      </c>
      <c r="F146" s="236">
        <v>0.2</v>
      </c>
      <c r="G146" s="236"/>
      <c r="H146" s="268">
        <v>2.95</v>
      </c>
      <c r="I146" s="242">
        <v>1</v>
      </c>
      <c r="J146" s="237"/>
      <c r="K146" s="237">
        <f t="shared" ref="K146:K155" si="5">IF(E146="","",PRODUCT(E146:I146))</f>
        <v>0.59000000000000008</v>
      </c>
      <c r="L146" s="111"/>
      <c r="M146" s="111"/>
      <c r="N146" s="111"/>
      <c r="O146" s="111"/>
    </row>
    <row r="147" spans="2:15" x14ac:dyDescent="0.3">
      <c r="B147" s="114"/>
      <c r="C147" s="233" t="s">
        <v>981</v>
      </c>
      <c r="D147" s="239" t="s">
        <v>0</v>
      </c>
      <c r="E147" s="235">
        <v>1</v>
      </c>
      <c r="F147" s="236">
        <v>0.55000000000000004</v>
      </c>
      <c r="G147" s="236"/>
      <c r="H147" s="268">
        <v>2.95</v>
      </c>
      <c r="I147" s="242">
        <v>1</v>
      </c>
      <c r="J147" s="237"/>
      <c r="K147" s="237">
        <f t="shared" si="5"/>
        <v>1.6225000000000003</v>
      </c>
      <c r="L147" s="111"/>
      <c r="M147" s="111"/>
      <c r="N147" s="111"/>
      <c r="O147" s="111"/>
    </row>
    <row r="148" spans="2:15" x14ac:dyDescent="0.3">
      <c r="B148" s="114"/>
      <c r="C148" s="233" t="s">
        <v>982</v>
      </c>
      <c r="D148" s="239" t="s">
        <v>0</v>
      </c>
      <c r="E148" s="235">
        <v>1</v>
      </c>
      <c r="F148" s="236">
        <v>1.43</v>
      </c>
      <c r="G148" s="236"/>
      <c r="H148" s="268">
        <v>2.95</v>
      </c>
      <c r="I148" s="242">
        <v>1</v>
      </c>
      <c r="J148" s="237"/>
      <c r="K148" s="237">
        <f t="shared" si="5"/>
        <v>4.2184999999999997</v>
      </c>
      <c r="L148" s="111"/>
      <c r="M148" s="111"/>
      <c r="N148" s="111"/>
      <c r="O148" s="111"/>
    </row>
    <row r="149" spans="2:15" x14ac:dyDescent="0.3">
      <c r="B149" s="114"/>
      <c r="C149" s="233" t="s">
        <v>982</v>
      </c>
      <c r="D149" s="239" t="s">
        <v>0</v>
      </c>
      <c r="E149" s="235">
        <v>1</v>
      </c>
      <c r="F149" s="236">
        <v>0.17</v>
      </c>
      <c r="G149" s="236"/>
      <c r="H149" s="268">
        <v>2.95</v>
      </c>
      <c r="I149" s="242">
        <v>1</v>
      </c>
      <c r="J149" s="237"/>
      <c r="K149" s="237">
        <f t="shared" si="5"/>
        <v>0.50150000000000006</v>
      </c>
      <c r="L149" s="111"/>
      <c r="M149" s="111"/>
      <c r="N149" s="111"/>
      <c r="O149" s="111"/>
    </row>
    <row r="150" spans="2:15" x14ac:dyDescent="0.3">
      <c r="B150" s="114"/>
      <c r="C150" s="233" t="s">
        <v>983</v>
      </c>
      <c r="D150" s="239" t="s">
        <v>0</v>
      </c>
      <c r="E150" s="235">
        <v>1</v>
      </c>
      <c r="F150" s="236">
        <v>0.85</v>
      </c>
      <c r="G150" s="236"/>
      <c r="H150" s="268">
        <v>2.95</v>
      </c>
      <c r="I150" s="242">
        <v>1</v>
      </c>
      <c r="J150" s="237"/>
      <c r="K150" s="237">
        <f t="shared" si="5"/>
        <v>2.5075000000000003</v>
      </c>
      <c r="L150" s="111"/>
      <c r="M150" s="111"/>
      <c r="N150" s="111"/>
      <c r="O150" s="111"/>
    </row>
    <row r="151" spans="2:15" x14ac:dyDescent="0.3">
      <c r="B151" s="114"/>
      <c r="C151" s="233" t="s">
        <v>984</v>
      </c>
      <c r="D151" s="239" t="s">
        <v>0</v>
      </c>
      <c r="E151" s="235">
        <v>1</v>
      </c>
      <c r="F151" s="236">
        <v>0.45</v>
      </c>
      <c r="G151" s="236"/>
      <c r="H151" s="268">
        <v>2.95</v>
      </c>
      <c r="I151" s="242">
        <v>1</v>
      </c>
      <c r="J151" s="237"/>
      <c r="K151" s="237">
        <f t="shared" si="5"/>
        <v>1.3275000000000001</v>
      </c>
      <c r="L151" s="111"/>
      <c r="M151" s="111"/>
      <c r="N151" s="111"/>
      <c r="O151" s="111"/>
    </row>
    <row r="152" spans="2:15" x14ac:dyDescent="0.3">
      <c r="B152" s="114"/>
      <c r="C152" s="233" t="s">
        <v>985</v>
      </c>
      <c r="D152" s="239" t="s">
        <v>0</v>
      </c>
      <c r="E152" s="235">
        <v>1</v>
      </c>
      <c r="F152" s="236">
        <v>2</v>
      </c>
      <c r="G152" s="236"/>
      <c r="H152" s="268">
        <v>2.95</v>
      </c>
      <c r="I152" s="242">
        <v>1</v>
      </c>
      <c r="J152" s="237"/>
      <c r="K152" s="237">
        <f t="shared" si="5"/>
        <v>5.9</v>
      </c>
      <c r="L152" s="111"/>
      <c r="M152" s="111"/>
      <c r="N152" s="111"/>
      <c r="O152" s="111"/>
    </row>
    <row r="153" spans="2:15" x14ac:dyDescent="0.3">
      <c r="B153" s="114"/>
      <c r="C153" s="233" t="s">
        <v>985</v>
      </c>
      <c r="D153" s="239" t="s">
        <v>0</v>
      </c>
      <c r="E153" s="235">
        <v>1</v>
      </c>
      <c r="F153" s="236">
        <v>0.85</v>
      </c>
      <c r="G153" s="236"/>
      <c r="H153" s="268">
        <v>2.95</v>
      </c>
      <c r="I153" s="242">
        <v>1</v>
      </c>
      <c r="J153" s="237"/>
      <c r="K153" s="237">
        <f t="shared" si="5"/>
        <v>2.5075000000000003</v>
      </c>
      <c r="L153" s="111"/>
      <c r="M153" s="111"/>
      <c r="N153" s="111"/>
      <c r="O153" s="111"/>
    </row>
    <row r="154" spans="2:15" x14ac:dyDescent="0.3">
      <c r="B154" s="114"/>
      <c r="C154" s="233" t="s">
        <v>986</v>
      </c>
      <c r="D154" s="239" t="s">
        <v>0</v>
      </c>
      <c r="E154" s="235">
        <v>1</v>
      </c>
      <c r="F154" s="236">
        <v>4.9000000000000004</v>
      </c>
      <c r="G154" s="236"/>
      <c r="H154" s="268">
        <v>2.95</v>
      </c>
      <c r="I154" s="242">
        <v>1</v>
      </c>
      <c r="J154" s="237"/>
      <c r="K154" s="237">
        <f t="shared" si="5"/>
        <v>14.455000000000002</v>
      </c>
      <c r="L154" s="111"/>
      <c r="M154" s="111"/>
      <c r="N154" s="111"/>
      <c r="O154" s="111"/>
    </row>
    <row r="155" spans="2:15" x14ac:dyDescent="0.3">
      <c r="B155" s="114"/>
      <c r="C155" s="233" t="s">
        <v>987</v>
      </c>
      <c r="D155" s="239" t="s">
        <v>0</v>
      </c>
      <c r="E155" s="235">
        <v>1</v>
      </c>
      <c r="F155" s="236">
        <v>1.85</v>
      </c>
      <c r="G155" s="236"/>
      <c r="H155" s="268">
        <v>2.95</v>
      </c>
      <c r="I155" s="242">
        <v>1</v>
      </c>
      <c r="J155" s="237"/>
      <c r="K155" s="237">
        <f t="shared" si="5"/>
        <v>5.4575000000000005</v>
      </c>
      <c r="L155" s="111"/>
      <c r="M155" s="111"/>
      <c r="N155" s="111"/>
      <c r="O155" s="111"/>
    </row>
    <row r="156" spans="2:15" x14ac:dyDescent="0.3">
      <c r="B156" s="106"/>
      <c r="C156" s="115" t="s">
        <v>68</v>
      </c>
      <c r="D156" s="144"/>
      <c r="E156" s="3"/>
      <c r="F156" s="122" t="s">
        <v>198</v>
      </c>
      <c r="G156" s="122"/>
      <c r="H156" s="103"/>
      <c r="I156" s="119"/>
      <c r="J156" s="113"/>
      <c r="K156" s="113"/>
      <c r="L156" s="113"/>
      <c r="M156" s="113"/>
      <c r="N156" s="113"/>
      <c r="O156" s="113"/>
    </row>
    <row r="157" spans="2:15" x14ac:dyDescent="0.3">
      <c r="B157" s="114"/>
      <c r="C157" s="233" t="s">
        <v>980</v>
      </c>
      <c r="D157" s="239" t="s">
        <v>0</v>
      </c>
      <c r="E157" s="235">
        <v>1</v>
      </c>
      <c r="F157" s="236">
        <v>0.6</v>
      </c>
      <c r="G157" s="236"/>
      <c r="H157" s="268">
        <v>2.95</v>
      </c>
      <c r="I157" s="242">
        <v>1</v>
      </c>
      <c r="J157" s="237"/>
      <c r="K157" s="237">
        <f t="shared" ref="K157:K171" si="6">IF(E157="","",PRODUCT(E157:I157))</f>
        <v>1.77</v>
      </c>
      <c r="L157" s="111"/>
      <c r="M157" s="111"/>
      <c r="N157" s="111"/>
      <c r="O157" s="111"/>
    </row>
    <row r="158" spans="2:15" x14ac:dyDescent="0.3">
      <c r="B158" s="114"/>
      <c r="C158" s="233"/>
      <c r="D158" s="239" t="s">
        <v>0</v>
      </c>
      <c r="E158" s="235">
        <v>1</v>
      </c>
      <c r="F158" s="236">
        <v>0.2</v>
      </c>
      <c r="G158" s="236"/>
      <c r="H158" s="268">
        <v>3</v>
      </c>
      <c r="I158" s="242">
        <v>1</v>
      </c>
      <c r="J158" s="237"/>
      <c r="K158" s="237">
        <f t="shared" si="6"/>
        <v>0.60000000000000009</v>
      </c>
      <c r="L158" s="111"/>
      <c r="M158" s="111"/>
      <c r="N158" s="111"/>
      <c r="O158" s="111"/>
    </row>
    <row r="159" spans="2:15" x14ac:dyDescent="0.3">
      <c r="B159" s="114"/>
      <c r="C159" s="233" t="s">
        <v>988</v>
      </c>
      <c r="D159" s="239" t="s">
        <v>0</v>
      </c>
      <c r="E159" s="235">
        <v>1</v>
      </c>
      <c r="F159" s="236">
        <v>1.85</v>
      </c>
      <c r="G159" s="236"/>
      <c r="H159" s="268">
        <v>2.95</v>
      </c>
      <c r="I159" s="242">
        <v>1</v>
      </c>
      <c r="J159" s="237"/>
      <c r="K159" s="237">
        <f t="shared" si="6"/>
        <v>5.4575000000000005</v>
      </c>
      <c r="L159" s="111"/>
      <c r="M159" s="111"/>
      <c r="N159" s="111"/>
      <c r="O159" s="111"/>
    </row>
    <row r="160" spans="2:15" x14ac:dyDescent="0.3">
      <c r="B160" s="114"/>
      <c r="C160" s="233" t="s">
        <v>988</v>
      </c>
      <c r="D160" s="239" t="s">
        <v>0</v>
      </c>
      <c r="E160" s="235">
        <v>1</v>
      </c>
      <c r="F160" s="236">
        <v>0.85</v>
      </c>
      <c r="G160" s="236"/>
      <c r="H160" s="268">
        <v>2.95</v>
      </c>
      <c r="I160" s="242">
        <v>1</v>
      </c>
      <c r="J160" s="237"/>
      <c r="K160" s="237">
        <f t="shared" si="6"/>
        <v>2.5075000000000003</v>
      </c>
      <c r="L160" s="111"/>
      <c r="M160" s="111"/>
      <c r="N160" s="111"/>
      <c r="O160" s="111"/>
    </row>
    <row r="161" spans="2:15" x14ac:dyDescent="0.3">
      <c r="B161" s="114"/>
      <c r="C161" s="233"/>
      <c r="D161" s="239" t="s">
        <v>0</v>
      </c>
      <c r="E161" s="235">
        <v>1</v>
      </c>
      <c r="F161" s="236">
        <v>1.4</v>
      </c>
      <c r="G161" s="236"/>
      <c r="H161" s="268">
        <v>3</v>
      </c>
      <c r="I161" s="242">
        <v>1</v>
      </c>
      <c r="J161" s="237"/>
      <c r="K161" s="237">
        <f t="shared" si="6"/>
        <v>4.1999999999999993</v>
      </c>
      <c r="L161" s="111"/>
      <c r="M161" s="111"/>
      <c r="N161" s="111"/>
      <c r="O161" s="111"/>
    </row>
    <row r="162" spans="2:15" x14ac:dyDescent="0.3">
      <c r="B162" s="114"/>
      <c r="C162" s="233" t="s">
        <v>989</v>
      </c>
      <c r="D162" s="239" t="s">
        <v>0</v>
      </c>
      <c r="E162" s="235">
        <v>1</v>
      </c>
      <c r="F162" s="236">
        <v>1.7</v>
      </c>
      <c r="G162" s="236"/>
      <c r="H162" s="268">
        <v>2.95</v>
      </c>
      <c r="I162" s="242">
        <v>1</v>
      </c>
      <c r="J162" s="237"/>
      <c r="K162" s="237">
        <f t="shared" si="6"/>
        <v>5.0150000000000006</v>
      </c>
      <c r="L162" s="111"/>
      <c r="M162" s="111"/>
      <c r="N162" s="111"/>
      <c r="O162" s="111"/>
    </row>
    <row r="163" spans="2:15" x14ac:dyDescent="0.3">
      <c r="B163" s="114"/>
      <c r="C163" s="233" t="s">
        <v>989</v>
      </c>
      <c r="D163" s="239" t="s">
        <v>0</v>
      </c>
      <c r="E163" s="235">
        <v>1</v>
      </c>
      <c r="F163" s="236">
        <v>1.4</v>
      </c>
      <c r="G163" s="236"/>
      <c r="H163" s="268">
        <v>3</v>
      </c>
      <c r="I163" s="242">
        <v>1</v>
      </c>
      <c r="J163" s="237"/>
      <c r="K163" s="237">
        <f t="shared" si="6"/>
        <v>4.1999999999999993</v>
      </c>
      <c r="L163" s="111"/>
      <c r="M163" s="111"/>
      <c r="N163" s="111"/>
      <c r="O163" s="111"/>
    </row>
    <row r="164" spans="2:15" x14ac:dyDescent="0.3">
      <c r="B164" s="114"/>
      <c r="C164" s="233" t="s">
        <v>981</v>
      </c>
      <c r="D164" s="239" t="s">
        <v>0</v>
      </c>
      <c r="E164" s="235">
        <v>1</v>
      </c>
      <c r="F164" s="236">
        <v>0.95</v>
      </c>
      <c r="G164" s="236"/>
      <c r="H164" s="268">
        <v>2.95</v>
      </c>
      <c r="I164" s="242">
        <v>1</v>
      </c>
      <c r="J164" s="237"/>
      <c r="K164" s="237">
        <f t="shared" si="6"/>
        <v>2.8025000000000002</v>
      </c>
      <c r="L164" s="111"/>
      <c r="M164" s="111"/>
      <c r="N164" s="111"/>
      <c r="O164" s="111"/>
    </row>
    <row r="165" spans="2:15" x14ac:dyDescent="0.3">
      <c r="B165" s="114"/>
      <c r="C165" s="233" t="s">
        <v>982</v>
      </c>
      <c r="D165" s="239" t="s">
        <v>0</v>
      </c>
      <c r="E165" s="235">
        <v>1</v>
      </c>
      <c r="F165" s="236">
        <v>1</v>
      </c>
      <c r="G165" s="236"/>
      <c r="H165" s="268">
        <v>2.95</v>
      </c>
      <c r="I165" s="242">
        <v>1</v>
      </c>
      <c r="J165" s="237"/>
      <c r="K165" s="237">
        <f t="shared" si="6"/>
        <v>2.95</v>
      </c>
      <c r="L165" s="111"/>
      <c r="M165" s="111"/>
      <c r="N165" s="111"/>
      <c r="O165" s="111"/>
    </row>
    <row r="166" spans="2:15" x14ac:dyDescent="0.3">
      <c r="B166" s="114"/>
      <c r="C166" s="233" t="s">
        <v>982</v>
      </c>
      <c r="D166" s="239" t="s">
        <v>0</v>
      </c>
      <c r="E166" s="235">
        <v>1</v>
      </c>
      <c r="F166" s="236">
        <v>0.6</v>
      </c>
      <c r="G166" s="236"/>
      <c r="H166" s="268">
        <v>2.95</v>
      </c>
      <c r="I166" s="242">
        <v>1</v>
      </c>
      <c r="J166" s="237"/>
      <c r="K166" s="237">
        <f t="shared" si="6"/>
        <v>1.77</v>
      </c>
      <c r="L166" s="111"/>
      <c r="M166" s="111"/>
      <c r="N166" s="111"/>
      <c r="O166" s="111"/>
    </row>
    <row r="167" spans="2:15" x14ac:dyDescent="0.3">
      <c r="B167" s="114"/>
      <c r="C167" s="233" t="s">
        <v>983</v>
      </c>
      <c r="D167" s="239" t="s">
        <v>0</v>
      </c>
      <c r="E167" s="235">
        <v>1</v>
      </c>
      <c r="F167" s="236">
        <v>0.8</v>
      </c>
      <c r="G167" s="236"/>
      <c r="H167" s="268">
        <v>2.95</v>
      </c>
      <c r="I167" s="242">
        <v>1</v>
      </c>
      <c r="J167" s="237"/>
      <c r="K167" s="237">
        <f t="shared" si="6"/>
        <v>2.3600000000000003</v>
      </c>
      <c r="L167" s="111"/>
      <c r="M167" s="111"/>
      <c r="N167" s="111"/>
      <c r="O167" s="111"/>
    </row>
    <row r="168" spans="2:15" x14ac:dyDescent="0.3">
      <c r="B168" s="114"/>
      <c r="C168" s="233" t="s">
        <v>984</v>
      </c>
      <c r="D168" s="239" t="s">
        <v>0</v>
      </c>
      <c r="E168" s="235">
        <v>1</v>
      </c>
      <c r="F168" s="236">
        <v>0.6</v>
      </c>
      <c r="G168" s="236"/>
      <c r="H168" s="268">
        <v>2.95</v>
      </c>
      <c r="I168" s="242">
        <v>1</v>
      </c>
      <c r="J168" s="237"/>
      <c r="K168" s="237">
        <f t="shared" si="6"/>
        <v>1.77</v>
      </c>
      <c r="L168" s="111"/>
      <c r="M168" s="111"/>
      <c r="N168" s="111"/>
      <c r="O168" s="111"/>
    </row>
    <row r="169" spans="2:15" x14ac:dyDescent="0.3">
      <c r="B169" s="114"/>
      <c r="C169" s="233" t="s">
        <v>985</v>
      </c>
      <c r="D169" s="239" t="s">
        <v>0</v>
      </c>
      <c r="E169" s="235">
        <v>1</v>
      </c>
      <c r="F169" s="236">
        <v>1.85</v>
      </c>
      <c r="G169" s="236"/>
      <c r="H169" s="268">
        <v>2.95</v>
      </c>
      <c r="I169" s="242">
        <v>1</v>
      </c>
      <c r="J169" s="237"/>
      <c r="K169" s="237">
        <f t="shared" si="6"/>
        <v>5.4575000000000005</v>
      </c>
      <c r="L169" s="111"/>
      <c r="M169" s="111"/>
      <c r="N169" s="111"/>
      <c r="O169" s="111"/>
    </row>
    <row r="170" spans="2:15" x14ac:dyDescent="0.3">
      <c r="B170" s="114"/>
      <c r="C170" s="233" t="s">
        <v>985</v>
      </c>
      <c r="D170" s="239" t="s">
        <v>0</v>
      </c>
      <c r="E170" s="235">
        <v>1</v>
      </c>
      <c r="F170" s="236">
        <v>0.85</v>
      </c>
      <c r="G170" s="236"/>
      <c r="H170" s="268">
        <v>2.95</v>
      </c>
      <c r="I170" s="242">
        <v>1</v>
      </c>
      <c r="J170" s="237"/>
      <c r="K170" s="237">
        <f t="shared" si="6"/>
        <v>2.5075000000000003</v>
      </c>
      <c r="L170" s="111"/>
      <c r="M170" s="111"/>
      <c r="N170" s="111"/>
      <c r="O170" s="111"/>
    </row>
    <row r="171" spans="2:15" x14ac:dyDescent="0.3">
      <c r="B171" s="114"/>
      <c r="C171" s="233" t="s">
        <v>987</v>
      </c>
      <c r="D171" s="239" t="s">
        <v>0</v>
      </c>
      <c r="E171" s="235">
        <v>1</v>
      </c>
      <c r="F171" s="236">
        <v>1.75</v>
      </c>
      <c r="G171" s="236"/>
      <c r="H171" s="268">
        <v>2.95</v>
      </c>
      <c r="I171" s="242">
        <v>1</v>
      </c>
      <c r="J171" s="237"/>
      <c r="K171" s="237">
        <f t="shared" si="6"/>
        <v>5.1625000000000005</v>
      </c>
      <c r="L171" s="111"/>
      <c r="M171" s="111"/>
      <c r="N171" s="111"/>
      <c r="O171" s="111"/>
    </row>
    <row r="172" spans="2:15" x14ac:dyDescent="0.3">
      <c r="B172" s="106"/>
      <c r="C172" s="115" t="s">
        <v>106</v>
      </c>
      <c r="D172" s="144"/>
      <c r="E172" s="3"/>
      <c r="F172" s="122" t="s">
        <v>198</v>
      </c>
      <c r="G172" s="122"/>
      <c r="H172" s="103"/>
      <c r="I172" s="119"/>
      <c r="J172" s="113"/>
      <c r="K172" s="113"/>
      <c r="L172" s="113"/>
      <c r="M172" s="113"/>
      <c r="N172" s="113"/>
      <c r="O172" s="113"/>
    </row>
    <row r="173" spans="2:15" x14ac:dyDescent="0.3">
      <c r="B173" s="114"/>
      <c r="C173" s="233" t="s">
        <v>980</v>
      </c>
      <c r="D173" s="239" t="s">
        <v>0</v>
      </c>
      <c r="E173" s="235">
        <v>1</v>
      </c>
      <c r="F173" s="236">
        <v>1.05</v>
      </c>
      <c r="G173" s="236"/>
      <c r="H173" s="268">
        <v>2.95</v>
      </c>
      <c r="I173" s="242">
        <v>1</v>
      </c>
      <c r="J173" s="237"/>
      <c r="K173" s="237">
        <f t="shared" ref="K173:K184" si="7">IF(E173="","",PRODUCT(E173:I173))</f>
        <v>3.0975000000000001</v>
      </c>
      <c r="L173" s="111"/>
      <c r="M173" s="111"/>
      <c r="N173" s="111"/>
      <c r="O173" s="111"/>
    </row>
    <row r="174" spans="2:15" x14ac:dyDescent="0.3">
      <c r="B174" s="114"/>
      <c r="C174" s="233" t="s">
        <v>988</v>
      </c>
      <c r="D174" s="239" t="s">
        <v>0</v>
      </c>
      <c r="E174" s="235">
        <v>1</v>
      </c>
      <c r="F174" s="236">
        <v>3.05</v>
      </c>
      <c r="G174" s="236"/>
      <c r="H174" s="268">
        <v>2.95</v>
      </c>
      <c r="I174" s="242">
        <v>1</v>
      </c>
      <c r="J174" s="237"/>
      <c r="K174" s="237">
        <f t="shared" si="7"/>
        <v>8.9975000000000005</v>
      </c>
      <c r="L174" s="111"/>
      <c r="M174" s="111"/>
      <c r="N174" s="111"/>
      <c r="O174" s="111"/>
    </row>
    <row r="175" spans="2:15" x14ac:dyDescent="0.3">
      <c r="B175" s="114"/>
      <c r="C175" s="233" t="s">
        <v>988</v>
      </c>
      <c r="D175" s="239" t="s">
        <v>0</v>
      </c>
      <c r="E175" s="235">
        <v>1</v>
      </c>
      <c r="F175" s="236">
        <v>0.85</v>
      </c>
      <c r="G175" s="236"/>
      <c r="H175" s="268">
        <v>2.95</v>
      </c>
      <c r="I175" s="242">
        <v>1</v>
      </c>
      <c r="J175" s="237"/>
      <c r="K175" s="237">
        <f t="shared" si="7"/>
        <v>2.5075000000000003</v>
      </c>
      <c r="L175" s="111"/>
      <c r="M175" s="111"/>
      <c r="N175" s="111"/>
      <c r="O175" s="111"/>
    </row>
    <row r="176" spans="2:15" x14ac:dyDescent="0.3">
      <c r="B176" s="114"/>
      <c r="C176" s="233" t="s">
        <v>989</v>
      </c>
      <c r="D176" s="239" t="s">
        <v>0</v>
      </c>
      <c r="E176" s="235">
        <v>1</v>
      </c>
      <c r="F176" s="236">
        <v>3</v>
      </c>
      <c r="G176" s="236"/>
      <c r="H176" s="268">
        <v>2.95</v>
      </c>
      <c r="I176" s="242">
        <v>1</v>
      </c>
      <c r="J176" s="237"/>
      <c r="K176" s="237">
        <f t="shared" si="7"/>
        <v>8.8500000000000014</v>
      </c>
      <c r="L176" s="111"/>
      <c r="M176" s="111"/>
      <c r="N176" s="111"/>
      <c r="O176" s="111"/>
    </row>
    <row r="177" spans="2:15" x14ac:dyDescent="0.3">
      <c r="B177" s="114"/>
      <c r="C177" s="233" t="s">
        <v>981</v>
      </c>
      <c r="D177" s="239" t="s">
        <v>0</v>
      </c>
      <c r="E177" s="235">
        <v>1</v>
      </c>
      <c r="F177" s="236">
        <v>0.95</v>
      </c>
      <c r="G177" s="236"/>
      <c r="H177" s="268">
        <v>2.95</v>
      </c>
      <c r="I177" s="242">
        <v>1</v>
      </c>
      <c r="J177" s="237"/>
      <c r="K177" s="237">
        <f t="shared" si="7"/>
        <v>2.8025000000000002</v>
      </c>
      <c r="L177" s="111"/>
      <c r="M177" s="111"/>
      <c r="N177" s="111"/>
      <c r="O177" s="111"/>
    </row>
    <row r="178" spans="2:15" x14ac:dyDescent="0.3">
      <c r="B178" s="114"/>
      <c r="C178" s="233" t="s">
        <v>982</v>
      </c>
      <c r="D178" s="239" t="s">
        <v>0</v>
      </c>
      <c r="E178" s="235">
        <v>1</v>
      </c>
      <c r="F178" s="236">
        <v>0.87</v>
      </c>
      <c r="G178" s="236"/>
      <c r="H178" s="268">
        <v>2.95</v>
      </c>
      <c r="I178" s="242">
        <v>1</v>
      </c>
      <c r="J178" s="237"/>
      <c r="K178" s="237">
        <f t="shared" si="7"/>
        <v>2.5665</v>
      </c>
      <c r="L178" s="111"/>
      <c r="M178" s="111"/>
      <c r="N178" s="111"/>
      <c r="O178" s="111"/>
    </row>
    <row r="179" spans="2:15" x14ac:dyDescent="0.3">
      <c r="B179" s="114"/>
      <c r="C179" s="233" t="s">
        <v>982</v>
      </c>
      <c r="D179" s="239" t="s">
        <v>0</v>
      </c>
      <c r="E179" s="235">
        <v>1</v>
      </c>
      <c r="F179" s="236">
        <v>0.6</v>
      </c>
      <c r="G179" s="236"/>
      <c r="H179" s="268">
        <v>2.95</v>
      </c>
      <c r="I179" s="242">
        <v>1</v>
      </c>
      <c r="J179" s="237"/>
      <c r="K179" s="237">
        <f t="shared" si="7"/>
        <v>1.77</v>
      </c>
      <c r="L179" s="111"/>
      <c r="M179" s="111"/>
      <c r="N179" s="111"/>
      <c r="O179" s="111"/>
    </row>
    <row r="180" spans="2:15" x14ac:dyDescent="0.3">
      <c r="B180" s="114"/>
      <c r="C180" s="233" t="s">
        <v>983</v>
      </c>
      <c r="D180" s="239" t="s">
        <v>0</v>
      </c>
      <c r="E180" s="235">
        <v>1</v>
      </c>
      <c r="F180" s="236">
        <v>0.8</v>
      </c>
      <c r="G180" s="236"/>
      <c r="H180" s="268">
        <v>2.95</v>
      </c>
      <c r="I180" s="242">
        <v>1</v>
      </c>
      <c r="J180" s="237"/>
      <c r="K180" s="237">
        <f t="shared" si="7"/>
        <v>2.3600000000000003</v>
      </c>
      <c r="L180" s="111"/>
      <c r="M180" s="111"/>
      <c r="N180" s="111"/>
      <c r="O180" s="111"/>
    </row>
    <row r="181" spans="2:15" x14ac:dyDescent="0.3">
      <c r="B181" s="114"/>
      <c r="C181" s="233" t="s">
        <v>984</v>
      </c>
      <c r="D181" s="239" t="s">
        <v>0</v>
      </c>
      <c r="E181" s="235">
        <v>1</v>
      </c>
      <c r="F181" s="236">
        <v>0.6</v>
      </c>
      <c r="G181" s="236"/>
      <c r="H181" s="268">
        <v>2.95</v>
      </c>
      <c r="I181" s="242">
        <v>1</v>
      </c>
      <c r="J181" s="237"/>
      <c r="K181" s="237">
        <f t="shared" si="7"/>
        <v>1.77</v>
      </c>
      <c r="L181" s="111"/>
      <c r="M181" s="111"/>
      <c r="N181" s="111"/>
      <c r="O181" s="111"/>
    </row>
    <row r="182" spans="2:15" x14ac:dyDescent="0.3">
      <c r="B182" s="114"/>
      <c r="C182" s="233" t="s">
        <v>985</v>
      </c>
      <c r="D182" s="239" t="s">
        <v>0</v>
      </c>
      <c r="E182" s="235">
        <v>1</v>
      </c>
      <c r="F182" s="236">
        <v>1.75</v>
      </c>
      <c r="G182" s="236"/>
      <c r="H182" s="268">
        <v>2.95</v>
      </c>
      <c r="I182" s="242">
        <v>1</v>
      </c>
      <c r="J182" s="237"/>
      <c r="K182" s="237">
        <f t="shared" si="7"/>
        <v>5.1625000000000005</v>
      </c>
      <c r="L182" s="111"/>
      <c r="M182" s="111"/>
      <c r="N182" s="111"/>
      <c r="O182" s="111"/>
    </row>
    <row r="183" spans="2:15" x14ac:dyDescent="0.3">
      <c r="B183" s="114"/>
      <c r="C183" s="233" t="s">
        <v>985</v>
      </c>
      <c r="D183" s="239" t="s">
        <v>0</v>
      </c>
      <c r="E183" s="235">
        <v>1</v>
      </c>
      <c r="F183" s="236">
        <v>0.85</v>
      </c>
      <c r="G183" s="236"/>
      <c r="H183" s="268">
        <v>2.95</v>
      </c>
      <c r="I183" s="242">
        <v>1</v>
      </c>
      <c r="J183" s="237"/>
      <c r="K183" s="237">
        <f t="shared" si="7"/>
        <v>2.5075000000000003</v>
      </c>
      <c r="L183" s="111"/>
      <c r="M183" s="111"/>
      <c r="N183" s="111"/>
      <c r="O183" s="111"/>
    </row>
    <row r="184" spans="2:15" x14ac:dyDescent="0.3">
      <c r="B184" s="114"/>
      <c r="C184" s="233" t="s">
        <v>987</v>
      </c>
      <c r="D184" s="239" t="s">
        <v>0</v>
      </c>
      <c r="E184" s="235">
        <v>1</v>
      </c>
      <c r="F184" s="236">
        <v>1.75</v>
      </c>
      <c r="G184" s="236"/>
      <c r="H184" s="268">
        <v>2.95</v>
      </c>
      <c r="I184" s="242">
        <v>1</v>
      </c>
      <c r="J184" s="237"/>
      <c r="K184" s="237">
        <f t="shared" si="7"/>
        <v>5.1625000000000005</v>
      </c>
      <c r="L184" s="111"/>
      <c r="M184" s="111"/>
      <c r="N184" s="111"/>
      <c r="O184" s="111"/>
    </row>
    <row r="185" spans="2:15" x14ac:dyDescent="0.3">
      <c r="B185" s="106"/>
      <c r="C185" s="115" t="s">
        <v>51</v>
      </c>
      <c r="D185" s="144"/>
      <c r="E185" s="3"/>
      <c r="F185" s="122" t="s">
        <v>198</v>
      </c>
      <c r="G185" s="122"/>
      <c r="H185" s="113"/>
      <c r="I185" s="119"/>
      <c r="J185" s="113"/>
      <c r="K185" s="113"/>
      <c r="L185" s="113"/>
      <c r="M185" s="113"/>
      <c r="N185" s="113"/>
      <c r="O185" s="113"/>
    </row>
    <row r="186" spans="2:15" x14ac:dyDescent="0.3">
      <c r="B186" s="114"/>
      <c r="C186" s="233" t="s">
        <v>980</v>
      </c>
      <c r="D186" s="239" t="s">
        <v>0</v>
      </c>
      <c r="E186" s="235">
        <v>1</v>
      </c>
      <c r="F186" s="236">
        <v>1.05</v>
      </c>
      <c r="G186" s="236"/>
      <c r="H186" s="237">
        <v>3.95</v>
      </c>
      <c r="I186" s="242">
        <v>1</v>
      </c>
      <c r="J186" s="237"/>
      <c r="K186" s="237">
        <f t="shared" ref="K186:K193" si="8">IF(E186="","",PRODUCT(E186:I186))</f>
        <v>4.1475</v>
      </c>
      <c r="L186" s="111"/>
      <c r="M186" s="111"/>
      <c r="N186" s="111"/>
      <c r="O186" s="111"/>
    </row>
    <row r="187" spans="2:15" x14ac:dyDescent="0.3">
      <c r="B187" s="114"/>
      <c r="C187" s="233" t="s">
        <v>988</v>
      </c>
      <c r="D187" s="239" t="s">
        <v>0</v>
      </c>
      <c r="E187" s="235">
        <v>1</v>
      </c>
      <c r="F187" s="236">
        <v>2.4</v>
      </c>
      <c r="G187" s="236"/>
      <c r="H187" s="237">
        <v>3.95</v>
      </c>
      <c r="I187" s="242">
        <v>1</v>
      </c>
      <c r="J187" s="237"/>
      <c r="K187" s="237">
        <f t="shared" si="8"/>
        <v>9.48</v>
      </c>
      <c r="L187" s="111"/>
      <c r="M187" s="111"/>
      <c r="N187" s="111"/>
      <c r="O187" s="111"/>
    </row>
    <row r="188" spans="2:15" x14ac:dyDescent="0.3">
      <c r="B188" s="114"/>
      <c r="C188" s="233" t="s">
        <v>989</v>
      </c>
      <c r="D188" s="239" t="s">
        <v>0</v>
      </c>
      <c r="E188" s="235">
        <v>1</v>
      </c>
      <c r="F188" s="236">
        <v>1.25</v>
      </c>
      <c r="G188" s="236"/>
      <c r="H188" s="237">
        <v>3.95</v>
      </c>
      <c r="I188" s="242">
        <v>1</v>
      </c>
      <c r="J188" s="237"/>
      <c r="K188" s="237">
        <f t="shared" si="8"/>
        <v>4.9375</v>
      </c>
      <c r="L188" s="111"/>
      <c r="M188" s="111"/>
      <c r="N188" s="111"/>
      <c r="O188" s="111"/>
    </row>
    <row r="189" spans="2:15" x14ac:dyDescent="0.3">
      <c r="B189" s="114"/>
      <c r="C189" s="233" t="s">
        <v>981</v>
      </c>
      <c r="D189" s="239" t="s">
        <v>0</v>
      </c>
      <c r="E189" s="235">
        <v>1</v>
      </c>
      <c r="F189" s="236">
        <v>0.95</v>
      </c>
      <c r="G189" s="236"/>
      <c r="H189" s="237">
        <v>3.95</v>
      </c>
      <c r="I189" s="242">
        <v>1</v>
      </c>
      <c r="J189" s="237"/>
      <c r="K189" s="237">
        <f t="shared" si="8"/>
        <v>3.7524999999999999</v>
      </c>
      <c r="L189" s="111"/>
      <c r="M189" s="111"/>
      <c r="N189" s="111"/>
      <c r="O189" s="111"/>
    </row>
    <row r="190" spans="2:15" x14ac:dyDescent="0.3">
      <c r="B190" s="114"/>
      <c r="C190" s="233" t="s">
        <v>983</v>
      </c>
      <c r="D190" s="239" t="s">
        <v>0</v>
      </c>
      <c r="E190" s="235">
        <v>1</v>
      </c>
      <c r="F190" s="236">
        <v>1</v>
      </c>
      <c r="G190" s="236"/>
      <c r="H190" s="237">
        <v>3.95</v>
      </c>
      <c r="I190" s="242">
        <v>1</v>
      </c>
      <c r="J190" s="237"/>
      <c r="K190" s="237">
        <f t="shared" si="8"/>
        <v>3.95</v>
      </c>
      <c r="L190" s="111"/>
      <c r="M190" s="111"/>
      <c r="N190" s="111"/>
      <c r="O190" s="111"/>
    </row>
    <row r="191" spans="2:15" x14ac:dyDescent="0.3">
      <c r="B191" s="114"/>
      <c r="C191" s="233" t="s">
        <v>984</v>
      </c>
      <c r="D191" s="239" t="s">
        <v>0</v>
      </c>
      <c r="E191" s="235">
        <v>1</v>
      </c>
      <c r="F191" s="236">
        <v>0.6</v>
      </c>
      <c r="G191" s="236"/>
      <c r="H191" s="237">
        <v>3.95</v>
      </c>
      <c r="I191" s="242">
        <v>1</v>
      </c>
      <c r="J191" s="237"/>
      <c r="K191" s="237">
        <f t="shared" si="8"/>
        <v>2.37</v>
      </c>
      <c r="L191" s="111"/>
      <c r="M191" s="111"/>
      <c r="N191" s="111"/>
      <c r="O191" s="111"/>
    </row>
    <row r="192" spans="2:15" x14ac:dyDescent="0.3">
      <c r="B192" s="114"/>
      <c r="C192" s="233" t="s">
        <v>985</v>
      </c>
      <c r="D192" s="239" t="s">
        <v>0</v>
      </c>
      <c r="E192" s="235">
        <v>1</v>
      </c>
      <c r="F192" s="236">
        <v>2.4</v>
      </c>
      <c r="G192" s="236"/>
      <c r="H192" s="237">
        <v>3.95</v>
      </c>
      <c r="I192" s="242">
        <v>1</v>
      </c>
      <c r="J192" s="237"/>
      <c r="K192" s="237">
        <f t="shared" si="8"/>
        <v>9.48</v>
      </c>
      <c r="L192" s="111"/>
      <c r="M192" s="111"/>
      <c r="N192" s="111"/>
      <c r="O192" s="111"/>
    </row>
    <row r="193" spans="2:15" x14ac:dyDescent="0.3">
      <c r="B193" s="114"/>
      <c r="C193" s="233" t="s">
        <v>987</v>
      </c>
      <c r="D193" s="239" t="s">
        <v>0</v>
      </c>
      <c r="E193" s="235">
        <v>1</v>
      </c>
      <c r="F193" s="236">
        <v>1.05</v>
      </c>
      <c r="G193" s="236"/>
      <c r="H193" s="237">
        <v>3.95</v>
      </c>
      <c r="I193" s="242">
        <v>1</v>
      </c>
      <c r="J193" s="237"/>
      <c r="K193" s="237">
        <f t="shared" si="8"/>
        <v>4.1475</v>
      </c>
      <c r="L193" s="111"/>
      <c r="M193" s="111"/>
      <c r="N193" s="111"/>
      <c r="O193" s="111"/>
    </row>
    <row r="194" spans="2:15" x14ac:dyDescent="0.3">
      <c r="B194" s="114"/>
      <c r="C194" s="265"/>
      <c r="D194" s="108"/>
      <c r="E194" s="109"/>
      <c r="F194" s="110"/>
      <c r="G194" s="110"/>
      <c r="H194" s="111"/>
      <c r="I194" s="112"/>
      <c r="J194" s="111"/>
      <c r="K194" s="111"/>
      <c r="L194" s="111"/>
      <c r="M194" s="111"/>
      <c r="N194" s="111"/>
      <c r="O194" s="111"/>
    </row>
    <row r="195" spans="2:15" x14ac:dyDescent="0.3">
      <c r="B195" s="289" t="s">
        <v>1183</v>
      </c>
      <c r="C195" s="100" t="s">
        <v>519</v>
      </c>
      <c r="D195" s="290" t="s">
        <v>0</v>
      </c>
      <c r="E195" s="291"/>
      <c r="F195" s="292"/>
      <c r="G195" s="292"/>
      <c r="H195" s="292"/>
      <c r="I195" s="293"/>
      <c r="J195" s="294"/>
      <c r="K195" s="294"/>
      <c r="L195" s="294"/>
      <c r="M195" s="294"/>
      <c r="N195" s="294"/>
      <c r="O195" s="103">
        <f>SUM(K196:K257)</f>
        <v>46.255500000000012</v>
      </c>
    </row>
    <row r="196" spans="2:15" x14ac:dyDescent="0.3">
      <c r="B196" s="106"/>
      <c r="C196" s="115" t="s">
        <v>127</v>
      </c>
      <c r="D196" s="144"/>
      <c r="E196" s="3"/>
      <c r="F196" s="122"/>
      <c r="G196" s="122"/>
      <c r="H196" s="113" t="s">
        <v>625</v>
      </c>
      <c r="I196" s="119"/>
      <c r="J196" s="113"/>
      <c r="K196" s="113"/>
      <c r="L196" s="113"/>
      <c r="M196" s="113"/>
      <c r="N196" s="113"/>
      <c r="O196" s="113"/>
    </row>
    <row r="197" spans="2:15" x14ac:dyDescent="0.3">
      <c r="B197" s="114"/>
      <c r="C197" s="233" t="s">
        <v>933</v>
      </c>
      <c r="D197" s="239" t="s">
        <v>0</v>
      </c>
      <c r="E197" s="235">
        <v>1</v>
      </c>
      <c r="F197" s="236">
        <v>2.95</v>
      </c>
      <c r="G197" s="236">
        <v>0.1</v>
      </c>
      <c r="H197" s="237">
        <v>0</v>
      </c>
      <c r="I197" s="242">
        <v>1</v>
      </c>
      <c r="J197" s="237"/>
      <c r="K197" s="237">
        <f t="shared" ref="K197:K206" si="9">((H197)+G197)*E197*F197*I197</f>
        <v>0.29500000000000004</v>
      </c>
      <c r="L197" s="111"/>
      <c r="M197" s="111"/>
      <c r="N197" s="111"/>
      <c r="O197" s="111"/>
    </row>
    <row r="198" spans="2:15" x14ac:dyDescent="0.3">
      <c r="B198" s="114"/>
      <c r="C198" s="233" t="s">
        <v>990</v>
      </c>
      <c r="D198" s="239" t="s">
        <v>0</v>
      </c>
      <c r="E198" s="235">
        <v>1</v>
      </c>
      <c r="F198" s="236">
        <f>1.4+1.1</f>
        <v>2.5</v>
      </c>
      <c r="G198" s="236">
        <v>0.15</v>
      </c>
      <c r="H198" s="237">
        <v>0</v>
      </c>
      <c r="I198" s="242">
        <v>1</v>
      </c>
      <c r="J198" s="237"/>
      <c r="K198" s="237">
        <f t="shared" si="9"/>
        <v>0.375</v>
      </c>
      <c r="L198" s="111"/>
      <c r="M198" s="111"/>
      <c r="N198" s="111"/>
      <c r="O198" s="111"/>
    </row>
    <row r="199" spans="2:15" x14ac:dyDescent="0.3">
      <c r="B199" s="114"/>
      <c r="C199" s="233" t="s">
        <v>991</v>
      </c>
      <c r="D199" s="239" t="s">
        <v>0</v>
      </c>
      <c r="E199" s="235">
        <v>1</v>
      </c>
      <c r="F199" s="236">
        <v>2.95</v>
      </c>
      <c r="G199" s="236">
        <v>0.25</v>
      </c>
      <c r="H199" s="237">
        <v>0</v>
      </c>
      <c r="I199" s="242">
        <v>1</v>
      </c>
      <c r="J199" s="237"/>
      <c r="K199" s="237">
        <f t="shared" si="9"/>
        <v>0.73750000000000004</v>
      </c>
      <c r="L199" s="111"/>
      <c r="M199" s="111"/>
      <c r="N199" s="111"/>
      <c r="O199" s="111"/>
    </row>
    <row r="200" spans="2:15" x14ac:dyDescent="0.3">
      <c r="B200" s="114"/>
      <c r="C200" s="233" t="s">
        <v>964</v>
      </c>
      <c r="D200" s="239" t="s">
        <v>0</v>
      </c>
      <c r="E200" s="235">
        <v>1</v>
      </c>
      <c r="F200" s="236">
        <v>4.3</v>
      </c>
      <c r="G200" s="236">
        <v>0</v>
      </c>
      <c r="H200" s="237">
        <v>0.1</v>
      </c>
      <c r="I200" s="242">
        <v>1</v>
      </c>
      <c r="J200" s="237"/>
      <c r="K200" s="237">
        <f t="shared" si="9"/>
        <v>0.43</v>
      </c>
      <c r="L200" s="111"/>
      <c r="M200" s="111"/>
      <c r="N200" s="111"/>
      <c r="O200" s="111"/>
    </row>
    <row r="201" spans="2:15" x14ac:dyDescent="0.3">
      <c r="B201" s="114"/>
      <c r="C201" s="233" t="s">
        <v>992</v>
      </c>
      <c r="D201" s="239" t="s">
        <v>0</v>
      </c>
      <c r="E201" s="235">
        <v>1</v>
      </c>
      <c r="F201" s="236">
        <v>3.35</v>
      </c>
      <c r="G201" s="236">
        <v>0.2</v>
      </c>
      <c r="H201" s="237">
        <v>0.1</v>
      </c>
      <c r="I201" s="242">
        <v>1</v>
      </c>
      <c r="J201" s="237"/>
      <c r="K201" s="237">
        <f t="shared" si="9"/>
        <v>1.0050000000000001</v>
      </c>
      <c r="L201" s="111"/>
      <c r="M201" s="111"/>
      <c r="N201" s="111"/>
      <c r="O201" s="111"/>
    </row>
    <row r="202" spans="2:15" x14ac:dyDescent="0.3">
      <c r="B202" s="114"/>
      <c r="C202" s="233" t="s">
        <v>960</v>
      </c>
      <c r="D202" s="239" t="s">
        <v>0</v>
      </c>
      <c r="E202" s="235">
        <v>1</v>
      </c>
      <c r="F202" s="236">
        <v>2.4</v>
      </c>
      <c r="G202" s="236">
        <v>0.35</v>
      </c>
      <c r="H202" s="237">
        <v>0</v>
      </c>
      <c r="I202" s="242">
        <v>1</v>
      </c>
      <c r="J202" s="237"/>
      <c r="K202" s="237">
        <f t="shared" si="9"/>
        <v>0.84</v>
      </c>
      <c r="L202" s="111"/>
      <c r="M202" s="111"/>
      <c r="N202" s="111"/>
      <c r="O202" s="111"/>
    </row>
    <row r="203" spans="2:15" x14ac:dyDescent="0.3">
      <c r="B203" s="114"/>
      <c r="C203" s="233" t="s">
        <v>937</v>
      </c>
      <c r="D203" s="239" t="s">
        <v>0</v>
      </c>
      <c r="E203" s="235">
        <v>1</v>
      </c>
      <c r="F203" s="236">
        <v>2.58</v>
      </c>
      <c r="G203" s="236">
        <v>0.25</v>
      </c>
      <c r="H203" s="237">
        <v>0</v>
      </c>
      <c r="I203" s="242">
        <v>1</v>
      </c>
      <c r="J203" s="237"/>
      <c r="K203" s="237">
        <f t="shared" si="9"/>
        <v>0.64500000000000002</v>
      </c>
      <c r="L203" s="111"/>
      <c r="M203" s="111"/>
      <c r="N203" s="111"/>
      <c r="O203" s="111"/>
    </row>
    <row r="204" spans="2:15" x14ac:dyDescent="0.3">
      <c r="B204" s="114"/>
      <c r="C204" s="233" t="s">
        <v>938</v>
      </c>
      <c r="D204" s="239" t="s">
        <v>0</v>
      </c>
      <c r="E204" s="235">
        <v>1</v>
      </c>
      <c r="F204" s="236">
        <v>1.62</v>
      </c>
      <c r="G204" s="236">
        <v>0.1</v>
      </c>
      <c r="H204" s="237">
        <v>0</v>
      </c>
      <c r="I204" s="242">
        <v>1</v>
      </c>
      <c r="J204" s="237"/>
      <c r="K204" s="237">
        <f t="shared" si="9"/>
        <v>0.16200000000000003</v>
      </c>
      <c r="L204" s="111"/>
      <c r="M204" s="111"/>
      <c r="N204" s="111"/>
      <c r="O204" s="111"/>
    </row>
    <row r="205" spans="2:15" x14ac:dyDescent="0.3">
      <c r="B205" s="114"/>
      <c r="C205" s="233" t="s">
        <v>939</v>
      </c>
      <c r="D205" s="239" t="s">
        <v>0</v>
      </c>
      <c r="E205" s="235">
        <v>1</v>
      </c>
      <c r="F205" s="236">
        <v>2.58</v>
      </c>
      <c r="G205" s="236">
        <v>0.1</v>
      </c>
      <c r="H205" s="237">
        <v>0</v>
      </c>
      <c r="I205" s="242">
        <v>1</v>
      </c>
      <c r="J205" s="237"/>
      <c r="K205" s="237">
        <f t="shared" si="9"/>
        <v>0.25800000000000001</v>
      </c>
      <c r="L205" s="111"/>
      <c r="M205" s="111"/>
      <c r="N205" s="111"/>
      <c r="O205" s="111"/>
    </row>
    <row r="206" spans="2:15" x14ac:dyDescent="0.3">
      <c r="B206" s="114"/>
      <c r="C206" s="233" t="s">
        <v>940</v>
      </c>
      <c r="D206" s="239" t="s">
        <v>0</v>
      </c>
      <c r="E206" s="235">
        <v>1</v>
      </c>
      <c r="F206" s="236">
        <v>1.62</v>
      </c>
      <c r="G206" s="236">
        <v>0.1</v>
      </c>
      <c r="H206" s="237">
        <v>0</v>
      </c>
      <c r="I206" s="242">
        <v>1</v>
      </c>
      <c r="J206" s="237"/>
      <c r="K206" s="237">
        <f t="shared" si="9"/>
        <v>0.16200000000000003</v>
      </c>
      <c r="L206" s="111"/>
      <c r="M206" s="111"/>
      <c r="N206" s="111"/>
      <c r="O206" s="111"/>
    </row>
    <row r="207" spans="2:15" x14ac:dyDescent="0.3">
      <c r="B207" s="106"/>
      <c r="C207" s="115" t="s">
        <v>68</v>
      </c>
      <c r="D207" s="144"/>
      <c r="E207" s="3"/>
      <c r="F207" s="122"/>
      <c r="G207" s="122"/>
      <c r="H207" s="113" t="s">
        <v>625</v>
      </c>
      <c r="I207" s="119"/>
      <c r="J207" s="113"/>
      <c r="K207" s="113"/>
      <c r="L207" s="113"/>
      <c r="M207" s="113"/>
      <c r="N207" s="113"/>
      <c r="O207" s="113"/>
    </row>
    <row r="208" spans="2:15" x14ac:dyDescent="0.3">
      <c r="B208" s="114"/>
      <c r="C208" s="233" t="s">
        <v>974</v>
      </c>
      <c r="D208" s="239" t="s">
        <v>0</v>
      </c>
      <c r="E208" s="235">
        <v>1</v>
      </c>
      <c r="F208" s="236">
        <v>2.95</v>
      </c>
      <c r="G208" s="236">
        <v>0.25</v>
      </c>
      <c r="H208" s="237">
        <v>0.05</v>
      </c>
      <c r="I208" s="242">
        <v>1</v>
      </c>
      <c r="J208" s="237"/>
      <c r="K208" s="237">
        <f t="shared" ref="K208:K219" si="10">((H208)+G208)*E208*F208*I208</f>
        <v>0.88500000000000001</v>
      </c>
      <c r="L208" s="111"/>
      <c r="M208" s="111"/>
      <c r="N208" s="111"/>
      <c r="O208" s="111"/>
    </row>
    <row r="209" spans="2:15" x14ac:dyDescent="0.3">
      <c r="B209" s="114"/>
      <c r="C209" s="233" t="s">
        <v>949</v>
      </c>
      <c r="D209" s="239" t="s">
        <v>0</v>
      </c>
      <c r="E209" s="235">
        <v>1</v>
      </c>
      <c r="F209" s="236">
        <v>2.4300000000000002</v>
      </c>
      <c r="G209" s="236">
        <v>0.1</v>
      </c>
      <c r="H209" s="237">
        <v>0.05</v>
      </c>
      <c r="I209" s="242">
        <v>1</v>
      </c>
      <c r="J209" s="237"/>
      <c r="K209" s="237">
        <f t="shared" si="10"/>
        <v>0.3645000000000001</v>
      </c>
      <c r="L209" s="111"/>
      <c r="M209" s="111"/>
      <c r="N209" s="111"/>
      <c r="O209" s="111"/>
    </row>
    <row r="210" spans="2:15" x14ac:dyDescent="0.3">
      <c r="B210" s="114"/>
      <c r="C210" s="233"/>
      <c r="D210" s="239" t="s">
        <v>0</v>
      </c>
      <c r="E210" s="235">
        <v>1</v>
      </c>
      <c r="F210" s="236">
        <v>1.87</v>
      </c>
      <c r="G210" s="236">
        <v>0.25</v>
      </c>
      <c r="H210" s="237">
        <v>0.05</v>
      </c>
      <c r="I210" s="242">
        <v>1</v>
      </c>
      <c r="J210" s="237"/>
      <c r="K210" s="237">
        <f t="shared" si="10"/>
        <v>0.56100000000000005</v>
      </c>
      <c r="L210" s="111"/>
      <c r="M210" s="111"/>
      <c r="N210" s="111"/>
      <c r="O210" s="111"/>
    </row>
    <row r="211" spans="2:15" x14ac:dyDescent="0.3">
      <c r="B211" s="114"/>
      <c r="C211" s="233" t="s">
        <v>933</v>
      </c>
      <c r="D211" s="239" t="s">
        <v>0</v>
      </c>
      <c r="E211" s="235">
        <v>1</v>
      </c>
      <c r="F211" s="236">
        <v>2.95</v>
      </c>
      <c r="G211" s="236">
        <v>0.25</v>
      </c>
      <c r="H211" s="237">
        <v>0</v>
      </c>
      <c r="I211" s="242">
        <v>1</v>
      </c>
      <c r="J211" s="237"/>
      <c r="K211" s="237">
        <f t="shared" si="10"/>
        <v>0.73750000000000004</v>
      </c>
      <c r="L211" s="111"/>
      <c r="M211" s="111"/>
      <c r="N211" s="111"/>
      <c r="O211" s="111"/>
    </row>
    <row r="212" spans="2:15" x14ac:dyDescent="0.3">
      <c r="B212" s="114"/>
      <c r="C212" s="233" t="s">
        <v>991</v>
      </c>
      <c r="D212" s="239" t="s">
        <v>0</v>
      </c>
      <c r="E212" s="235">
        <v>1</v>
      </c>
      <c r="F212" s="236">
        <v>2.95</v>
      </c>
      <c r="G212" s="236">
        <v>0.25</v>
      </c>
      <c r="H212" s="237">
        <v>0</v>
      </c>
      <c r="I212" s="242">
        <v>1</v>
      </c>
      <c r="J212" s="237"/>
      <c r="K212" s="237">
        <f t="shared" si="10"/>
        <v>0.73750000000000004</v>
      </c>
      <c r="L212" s="111"/>
      <c r="M212" s="111"/>
      <c r="N212" s="111"/>
      <c r="O212" s="111"/>
    </row>
    <row r="213" spans="2:15" x14ac:dyDescent="0.3">
      <c r="B213" s="114"/>
      <c r="C213" s="233" t="s">
        <v>964</v>
      </c>
      <c r="D213" s="239" t="s">
        <v>0</v>
      </c>
      <c r="E213" s="235">
        <v>1</v>
      </c>
      <c r="F213" s="236">
        <v>4.3</v>
      </c>
      <c r="G213" s="236">
        <v>0</v>
      </c>
      <c r="H213" s="237">
        <v>0.1</v>
      </c>
      <c r="I213" s="242">
        <v>1</v>
      </c>
      <c r="J213" s="237"/>
      <c r="K213" s="237">
        <f t="shared" si="10"/>
        <v>0.43</v>
      </c>
      <c r="L213" s="111"/>
      <c r="M213" s="111"/>
      <c r="N213" s="111"/>
      <c r="O213" s="111"/>
    </row>
    <row r="214" spans="2:15" x14ac:dyDescent="0.3">
      <c r="B214" s="114"/>
      <c r="C214" s="233" t="s">
        <v>992</v>
      </c>
      <c r="D214" s="239" t="s">
        <v>0</v>
      </c>
      <c r="E214" s="235">
        <v>1</v>
      </c>
      <c r="F214" s="236">
        <v>3.35</v>
      </c>
      <c r="G214" s="236">
        <v>0.35</v>
      </c>
      <c r="H214" s="237">
        <v>0</v>
      </c>
      <c r="I214" s="242">
        <v>1</v>
      </c>
      <c r="J214" s="237"/>
      <c r="K214" s="237">
        <f t="shared" si="10"/>
        <v>1.1724999999999999</v>
      </c>
      <c r="L214" s="111"/>
      <c r="M214" s="111"/>
      <c r="N214" s="111"/>
      <c r="O214" s="111"/>
    </row>
    <row r="215" spans="2:15" x14ac:dyDescent="0.3">
      <c r="B215" s="114"/>
      <c r="C215" s="233" t="s">
        <v>960</v>
      </c>
      <c r="D215" s="239" t="s">
        <v>0</v>
      </c>
      <c r="E215" s="235">
        <v>1</v>
      </c>
      <c r="F215" s="236">
        <v>2.4</v>
      </c>
      <c r="G215" s="236">
        <v>0.35</v>
      </c>
      <c r="H215" s="237">
        <v>0</v>
      </c>
      <c r="I215" s="242">
        <v>1</v>
      </c>
      <c r="J215" s="237"/>
      <c r="K215" s="237">
        <f t="shared" si="10"/>
        <v>0.84</v>
      </c>
      <c r="L215" s="111"/>
      <c r="M215" s="111"/>
      <c r="N215" s="111"/>
      <c r="O215" s="111"/>
    </row>
    <row r="216" spans="2:15" x14ac:dyDescent="0.3">
      <c r="B216" s="114"/>
      <c r="C216" s="233" t="s">
        <v>937</v>
      </c>
      <c r="D216" s="239" t="s">
        <v>0</v>
      </c>
      <c r="E216" s="235">
        <v>1</v>
      </c>
      <c r="F216" s="236">
        <v>2.58</v>
      </c>
      <c r="G216" s="236">
        <v>0.1</v>
      </c>
      <c r="H216" s="237">
        <v>0</v>
      </c>
      <c r="I216" s="242">
        <v>1</v>
      </c>
      <c r="J216" s="237"/>
      <c r="K216" s="237">
        <f t="shared" si="10"/>
        <v>0.25800000000000001</v>
      </c>
      <c r="L216" s="111"/>
      <c r="M216" s="111"/>
      <c r="N216" s="111"/>
      <c r="O216" s="111"/>
    </row>
    <row r="217" spans="2:15" x14ac:dyDescent="0.3">
      <c r="B217" s="114"/>
      <c r="C217" s="233" t="s">
        <v>938</v>
      </c>
      <c r="D217" s="239" t="s">
        <v>0</v>
      </c>
      <c r="E217" s="235">
        <v>1</v>
      </c>
      <c r="F217" s="236">
        <v>1.62</v>
      </c>
      <c r="G217" s="236">
        <v>0.1</v>
      </c>
      <c r="H217" s="237">
        <v>0</v>
      </c>
      <c r="I217" s="242">
        <v>1</v>
      </c>
      <c r="J217" s="237"/>
      <c r="K217" s="237">
        <f t="shared" si="10"/>
        <v>0.16200000000000003</v>
      </c>
      <c r="L217" s="111"/>
      <c r="M217" s="111"/>
      <c r="N217" s="111"/>
      <c r="O217" s="111"/>
    </row>
    <row r="218" spans="2:15" x14ac:dyDescent="0.3">
      <c r="B218" s="114"/>
      <c r="C218" s="233" t="s">
        <v>939</v>
      </c>
      <c r="D218" s="239" t="s">
        <v>0</v>
      </c>
      <c r="E218" s="235">
        <v>1</v>
      </c>
      <c r="F218" s="236">
        <v>2.58</v>
      </c>
      <c r="G218" s="236">
        <v>0.1</v>
      </c>
      <c r="H218" s="237">
        <v>0</v>
      </c>
      <c r="I218" s="242">
        <v>1</v>
      </c>
      <c r="J218" s="237"/>
      <c r="K218" s="237">
        <f t="shared" si="10"/>
        <v>0.25800000000000001</v>
      </c>
      <c r="L218" s="111"/>
      <c r="M218" s="111"/>
      <c r="N218" s="111"/>
      <c r="O218" s="111"/>
    </row>
    <row r="219" spans="2:15" x14ac:dyDescent="0.3">
      <c r="B219" s="114"/>
      <c r="C219" s="233" t="s">
        <v>940</v>
      </c>
      <c r="D219" s="239" t="s">
        <v>0</v>
      </c>
      <c r="E219" s="235">
        <v>1</v>
      </c>
      <c r="F219" s="236">
        <v>1.62</v>
      </c>
      <c r="G219" s="236">
        <v>0.1</v>
      </c>
      <c r="H219" s="237">
        <v>0</v>
      </c>
      <c r="I219" s="242">
        <v>1</v>
      </c>
      <c r="J219" s="237"/>
      <c r="K219" s="237">
        <f t="shared" si="10"/>
        <v>0.16200000000000003</v>
      </c>
      <c r="L219" s="111"/>
      <c r="M219" s="111"/>
      <c r="N219" s="111"/>
      <c r="O219" s="111"/>
    </row>
    <row r="220" spans="2:15" x14ac:dyDescent="0.3">
      <c r="B220" s="106"/>
      <c r="C220" s="115" t="s">
        <v>106</v>
      </c>
      <c r="D220" s="144"/>
      <c r="E220" s="3"/>
      <c r="F220" s="122"/>
      <c r="G220" s="122"/>
      <c r="H220" s="113" t="s">
        <v>625</v>
      </c>
      <c r="I220" s="119"/>
      <c r="J220" s="113"/>
      <c r="K220" s="113"/>
      <c r="L220" s="113"/>
      <c r="M220" s="113"/>
      <c r="N220" s="113"/>
      <c r="O220" s="113"/>
    </row>
    <row r="221" spans="2:15" x14ac:dyDescent="0.3">
      <c r="B221" s="114"/>
      <c r="C221" s="233" t="s">
        <v>974</v>
      </c>
      <c r="D221" s="239" t="s">
        <v>0</v>
      </c>
      <c r="E221" s="235">
        <v>1</v>
      </c>
      <c r="F221" s="236">
        <v>2.95</v>
      </c>
      <c r="G221" s="236">
        <v>0.25</v>
      </c>
      <c r="H221" s="237">
        <v>0</v>
      </c>
      <c r="I221" s="242">
        <v>1</v>
      </c>
      <c r="J221" s="237"/>
      <c r="K221" s="237">
        <f t="shared" ref="K221:K237" si="11">((H221)+G221)*E221*F221*I221</f>
        <v>0.73750000000000004</v>
      </c>
      <c r="L221" s="111"/>
      <c r="M221" s="111"/>
      <c r="N221" s="111"/>
      <c r="O221" s="111"/>
    </row>
    <row r="222" spans="2:15" x14ac:dyDescent="0.3">
      <c r="B222" s="114"/>
      <c r="C222" s="233" t="s">
        <v>949</v>
      </c>
      <c r="D222" s="239" t="s">
        <v>0</v>
      </c>
      <c r="E222" s="235">
        <v>1</v>
      </c>
      <c r="F222" s="236">
        <v>2.72</v>
      </c>
      <c r="G222" s="236">
        <v>0.25</v>
      </c>
      <c r="H222" s="237">
        <v>0</v>
      </c>
      <c r="I222" s="242">
        <v>1</v>
      </c>
      <c r="J222" s="237"/>
      <c r="K222" s="237">
        <f t="shared" si="11"/>
        <v>0.68</v>
      </c>
      <c r="L222" s="111"/>
      <c r="M222" s="111"/>
      <c r="N222" s="111"/>
      <c r="O222" s="111"/>
    </row>
    <row r="223" spans="2:15" x14ac:dyDescent="0.3">
      <c r="B223" s="114"/>
      <c r="C223" s="233"/>
      <c r="D223" s="239" t="s">
        <v>0</v>
      </c>
      <c r="E223" s="235">
        <v>1</v>
      </c>
      <c r="F223" s="236">
        <v>1.43</v>
      </c>
      <c r="G223" s="236">
        <v>0.1</v>
      </c>
      <c r="H223" s="237">
        <v>0</v>
      </c>
      <c r="I223" s="242">
        <v>1</v>
      </c>
      <c r="J223" s="237"/>
      <c r="K223" s="237">
        <f t="shared" si="11"/>
        <v>0.14299999999999999</v>
      </c>
      <c r="L223" s="111"/>
      <c r="M223" s="111"/>
      <c r="N223" s="111"/>
      <c r="O223" s="111"/>
    </row>
    <row r="224" spans="2:15" x14ac:dyDescent="0.3">
      <c r="B224" s="114"/>
      <c r="C224" s="233" t="s">
        <v>933</v>
      </c>
      <c r="D224" s="239" t="s">
        <v>0</v>
      </c>
      <c r="E224" s="235">
        <v>1</v>
      </c>
      <c r="F224" s="236">
        <v>2.95</v>
      </c>
      <c r="G224" s="236">
        <v>0.25</v>
      </c>
      <c r="H224" s="237">
        <v>0</v>
      </c>
      <c r="I224" s="242">
        <v>1</v>
      </c>
      <c r="J224" s="237"/>
      <c r="K224" s="237">
        <f t="shared" si="11"/>
        <v>0.73750000000000004</v>
      </c>
      <c r="L224" s="111"/>
      <c r="M224" s="111"/>
      <c r="N224" s="111"/>
      <c r="O224" s="111"/>
    </row>
    <row r="225" spans="2:15" x14ac:dyDescent="0.3">
      <c r="B225" s="114"/>
      <c r="C225" s="233" t="s">
        <v>991</v>
      </c>
      <c r="D225" s="239" t="s">
        <v>0</v>
      </c>
      <c r="E225" s="235">
        <v>1</v>
      </c>
      <c r="F225" s="236">
        <v>2.95</v>
      </c>
      <c r="G225" s="236">
        <v>0.25</v>
      </c>
      <c r="H225" s="237">
        <v>0</v>
      </c>
      <c r="I225" s="242">
        <v>1</v>
      </c>
      <c r="J225" s="237"/>
      <c r="K225" s="237">
        <f t="shared" si="11"/>
        <v>0.73750000000000004</v>
      </c>
      <c r="L225" s="111"/>
      <c r="M225" s="111"/>
      <c r="N225" s="111"/>
      <c r="O225" s="111"/>
    </row>
    <row r="226" spans="2:15" x14ac:dyDescent="0.3">
      <c r="B226" s="114"/>
      <c r="C226" s="233" t="s">
        <v>964</v>
      </c>
      <c r="D226" s="239" t="s">
        <v>0</v>
      </c>
      <c r="E226" s="235">
        <v>1</v>
      </c>
      <c r="F226" s="236">
        <v>4.3</v>
      </c>
      <c r="G226" s="236">
        <v>0</v>
      </c>
      <c r="H226" s="237">
        <v>0.1</v>
      </c>
      <c r="I226" s="242">
        <v>1</v>
      </c>
      <c r="J226" s="237"/>
      <c r="K226" s="237">
        <f t="shared" si="11"/>
        <v>0.43</v>
      </c>
      <c r="L226" s="111"/>
      <c r="M226" s="111"/>
      <c r="N226" s="111"/>
      <c r="O226" s="111"/>
    </row>
    <row r="227" spans="2:15" x14ac:dyDescent="0.3">
      <c r="B227" s="114"/>
      <c r="C227" s="233" t="s">
        <v>992</v>
      </c>
      <c r="D227" s="239" t="s">
        <v>0</v>
      </c>
      <c r="E227" s="235">
        <v>1</v>
      </c>
      <c r="F227" s="236">
        <v>3.35</v>
      </c>
      <c r="G227" s="236">
        <v>0.35</v>
      </c>
      <c r="H227" s="237">
        <v>0</v>
      </c>
      <c r="I227" s="242">
        <v>1</v>
      </c>
      <c r="J227" s="237"/>
      <c r="K227" s="237">
        <f t="shared" si="11"/>
        <v>1.1724999999999999</v>
      </c>
      <c r="L227" s="111"/>
      <c r="M227" s="111"/>
      <c r="N227" s="111"/>
      <c r="O227" s="111"/>
    </row>
    <row r="228" spans="2:15" x14ac:dyDescent="0.3">
      <c r="B228" s="114"/>
      <c r="C228" s="233" t="s">
        <v>960</v>
      </c>
      <c r="D228" s="239" t="s">
        <v>0</v>
      </c>
      <c r="E228" s="235">
        <v>1</v>
      </c>
      <c r="F228" s="236">
        <v>2.4</v>
      </c>
      <c r="G228" s="236">
        <v>0.35</v>
      </c>
      <c r="H228" s="237">
        <v>0</v>
      </c>
      <c r="I228" s="242">
        <v>1</v>
      </c>
      <c r="J228" s="237"/>
      <c r="K228" s="237">
        <f t="shared" si="11"/>
        <v>0.84</v>
      </c>
      <c r="L228" s="111"/>
      <c r="M228" s="111"/>
      <c r="N228" s="111"/>
      <c r="O228" s="111"/>
    </row>
    <row r="229" spans="2:15" x14ac:dyDescent="0.3">
      <c r="B229" s="114"/>
      <c r="C229" s="233" t="s">
        <v>937</v>
      </c>
      <c r="D229" s="239" t="s">
        <v>0</v>
      </c>
      <c r="E229" s="235">
        <v>1</v>
      </c>
      <c r="F229" s="236">
        <v>2.58</v>
      </c>
      <c r="G229" s="236">
        <v>0.1</v>
      </c>
      <c r="H229" s="237">
        <v>0</v>
      </c>
      <c r="I229" s="242">
        <v>1</v>
      </c>
      <c r="J229" s="237"/>
      <c r="K229" s="237">
        <f t="shared" si="11"/>
        <v>0.25800000000000001</v>
      </c>
      <c r="L229" s="111"/>
      <c r="M229" s="111"/>
      <c r="N229" s="111"/>
      <c r="O229" s="111"/>
    </row>
    <row r="230" spans="2:15" x14ac:dyDescent="0.3">
      <c r="B230" s="114"/>
      <c r="C230" s="233" t="s">
        <v>938</v>
      </c>
      <c r="D230" s="239" t="s">
        <v>0</v>
      </c>
      <c r="E230" s="235">
        <v>1</v>
      </c>
      <c r="F230" s="236">
        <v>1.62</v>
      </c>
      <c r="G230" s="236">
        <v>0.1</v>
      </c>
      <c r="H230" s="237">
        <v>0</v>
      </c>
      <c r="I230" s="242">
        <v>1</v>
      </c>
      <c r="J230" s="237"/>
      <c r="K230" s="237">
        <f t="shared" si="11"/>
        <v>0.16200000000000003</v>
      </c>
      <c r="L230" s="111"/>
      <c r="M230" s="111"/>
      <c r="N230" s="111"/>
      <c r="O230" s="111"/>
    </row>
    <row r="231" spans="2:15" x14ac:dyDescent="0.3">
      <c r="B231" s="114"/>
      <c r="C231" s="233" t="s">
        <v>939</v>
      </c>
      <c r="D231" s="239" t="s">
        <v>0</v>
      </c>
      <c r="E231" s="235">
        <v>1</v>
      </c>
      <c r="F231" s="236">
        <v>2.58</v>
      </c>
      <c r="G231" s="236">
        <v>0.1</v>
      </c>
      <c r="H231" s="237">
        <v>0</v>
      </c>
      <c r="I231" s="242">
        <v>1</v>
      </c>
      <c r="J231" s="237"/>
      <c r="K231" s="237">
        <f t="shared" si="11"/>
        <v>0.25800000000000001</v>
      </c>
      <c r="L231" s="111"/>
      <c r="M231" s="111"/>
      <c r="N231" s="111"/>
      <c r="O231" s="111"/>
    </row>
    <row r="232" spans="2:15" x14ac:dyDescent="0.3">
      <c r="B232" s="114"/>
      <c r="C232" s="233" t="s">
        <v>940</v>
      </c>
      <c r="D232" s="239" t="s">
        <v>0</v>
      </c>
      <c r="E232" s="235">
        <v>1</v>
      </c>
      <c r="F232" s="236">
        <v>1.62</v>
      </c>
      <c r="G232" s="236">
        <v>0.1</v>
      </c>
      <c r="H232" s="237">
        <v>0</v>
      </c>
      <c r="I232" s="242">
        <v>1</v>
      </c>
      <c r="J232" s="237"/>
      <c r="K232" s="237">
        <f t="shared" si="11"/>
        <v>0.16200000000000003</v>
      </c>
      <c r="L232" s="111"/>
      <c r="M232" s="111"/>
      <c r="N232" s="111"/>
      <c r="O232" s="111"/>
    </row>
    <row r="233" spans="2:15" x14ac:dyDescent="0.3">
      <c r="B233" s="114"/>
      <c r="C233" s="233" t="s">
        <v>993</v>
      </c>
      <c r="D233" s="239" t="s">
        <v>0</v>
      </c>
      <c r="E233" s="235">
        <v>1</v>
      </c>
      <c r="F233" s="236">
        <v>1.2</v>
      </c>
      <c r="G233" s="236">
        <v>0.1</v>
      </c>
      <c r="H233" s="237">
        <v>0</v>
      </c>
      <c r="I233" s="242">
        <v>1</v>
      </c>
      <c r="J233" s="237"/>
      <c r="K233" s="237">
        <f t="shared" si="11"/>
        <v>0.12</v>
      </c>
      <c r="L233" s="111"/>
      <c r="M233" s="111"/>
      <c r="N233" s="111"/>
      <c r="O233" s="111"/>
    </row>
    <row r="234" spans="2:15" x14ac:dyDescent="0.3">
      <c r="B234" s="114"/>
      <c r="C234" s="233" t="s">
        <v>994</v>
      </c>
      <c r="D234" s="239" t="s">
        <v>0</v>
      </c>
      <c r="E234" s="235">
        <v>1</v>
      </c>
      <c r="F234" s="236">
        <v>1.2</v>
      </c>
      <c r="G234" s="236">
        <v>0.35</v>
      </c>
      <c r="H234" s="237">
        <v>0</v>
      </c>
      <c r="I234" s="242">
        <v>1</v>
      </c>
      <c r="J234" s="237"/>
      <c r="K234" s="237">
        <f t="shared" si="11"/>
        <v>0.42</v>
      </c>
      <c r="L234" s="111"/>
      <c r="M234" s="111"/>
      <c r="N234" s="111"/>
      <c r="O234" s="111"/>
    </row>
    <row r="235" spans="2:15" x14ac:dyDescent="0.3">
      <c r="B235" s="114"/>
      <c r="C235" s="233" t="s">
        <v>995</v>
      </c>
      <c r="D235" s="239" t="s">
        <v>0</v>
      </c>
      <c r="E235" s="235">
        <v>1</v>
      </c>
      <c r="F235" s="236">
        <v>1.2</v>
      </c>
      <c r="G235" s="236">
        <v>0.35</v>
      </c>
      <c r="H235" s="237">
        <v>0</v>
      </c>
      <c r="I235" s="242">
        <v>1</v>
      </c>
      <c r="J235" s="237"/>
      <c r="K235" s="237">
        <f t="shared" si="11"/>
        <v>0.42</v>
      </c>
      <c r="L235" s="111"/>
      <c r="M235" s="111"/>
      <c r="N235" s="111"/>
      <c r="O235" s="111"/>
    </row>
    <row r="236" spans="2:15" x14ac:dyDescent="0.3">
      <c r="B236" s="114"/>
      <c r="C236" s="233" t="s">
        <v>996</v>
      </c>
      <c r="D236" s="239" t="s">
        <v>0</v>
      </c>
      <c r="E236" s="235">
        <v>1</v>
      </c>
      <c r="F236" s="236">
        <v>2.95</v>
      </c>
      <c r="G236" s="236">
        <v>0.1</v>
      </c>
      <c r="H236" s="237">
        <v>0</v>
      </c>
      <c r="I236" s="242">
        <v>1</v>
      </c>
      <c r="J236" s="237"/>
      <c r="K236" s="237">
        <f t="shared" si="11"/>
        <v>0.29500000000000004</v>
      </c>
      <c r="L236" s="111"/>
      <c r="M236" s="111"/>
      <c r="N236" s="111"/>
      <c r="O236" s="111"/>
    </row>
    <row r="237" spans="2:15" x14ac:dyDescent="0.3">
      <c r="B237" s="114"/>
      <c r="C237" s="233" t="s">
        <v>997</v>
      </c>
      <c r="D237" s="239" t="s">
        <v>0</v>
      </c>
      <c r="E237" s="235">
        <v>1</v>
      </c>
      <c r="F237" s="236">
        <v>6.4</v>
      </c>
      <c r="G237" s="236">
        <v>0.1</v>
      </c>
      <c r="H237" s="237">
        <v>0</v>
      </c>
      <c r="I237" s="242">
        <v>1</v>
      </c>
      <c r="J237" s="237"/>
      <c r="K237" s="237">
        <f t="shared" si="11"/>
        <v>0.64000000000000012</v>
      </c>
      <c r="L237" s="111"/>
      <c r="M237" s="111"/>
      <c r="N237" s="111"/>
      <c r="O237" s="111"/>
    </row>
    <row r="238" spans="2:15" x14ac:dyDescent="0.3">
      <c r="B238" s="106"/>
      <c r="C238" s="140" t="s">
        <v>51</v>
      </c>
      <c r="D238" s="144"/>
      <c r="E238" s="119"/>
      <c r="F238" s="122"/>
      <c r="G238" s="122"/>
      <c r="H238" s="122" t="s">
        <v>556</v>
      </c>
      <c r="I238" s="119"/>
      <c r="J238" s="113"/>
      <c r="K238" s="113"/>
      <c r="L238" s="113"/>
      <c r="M238" s="113"/>
      <c r="N238" s="113"/>
      <c r="O238" s="113"/>
    </row>
    <row r="239" spans="2:15" x14ac:dyDescent="0.3">
      <c r="B239" s="114"/>
      <c r="C239" s="233" t="s">
        <v>974</v>
      </c>
      <c r="D239" s="239" t="s">
        <v>0</v>
      </c>
      <c r="E239" s="235">
        <v>1</v>
      </c>
      <c r="F239" s="236">
        <v>2.95</v>
      </c>
      <c r="G239" s="236">
        <v>0.25</v>
      </c>
      <c r="H239" s="237">
        <v>0.6</v>
      </c>
      <c r="I239" s="242">
        <v>1</v>
      </c>
      <c r="J239" s="237"/>
      <c r="K239" s="237">
        <f t="shared" ref="K239:K256" si="12">((H239)+G239)*E239*F239*I239</f>
        <v>2.5075000000000003</v>
      </c>
      <c r="L239" s="111"/>
      <c r="M239" s="111"/>
      <c r="N239" s="111"/>
      <c r="O239" s="111"/>
    </row>
    <row r="240" spans="2:15" x14ac:dyDescent="0.3">
      <c r="B240" s="114"/>
      <c r="C240" s="233" t="s">
        <v>949</v>
      </c>
      <c r="D240" s="239" t="s">
        <v>0</v>
      </c>
      <c r="E240" s="235">
        <v>1</v>
      </c>
      <c r="F240" s="236">
        <v>4.3</v>
      </c>
      <c r="G240" s="236">
        <v>0.25</v>
      </c>
      <c r="H240" s="237">
        <v>0.6</v>
      </c>
      <c r="I240" s="242">
        <v>1</v>
      </c>
      <c r="J240" s="237"/>
      <c r="K240" s="237">
        <f t="shared" si="12"/>
        <v>3.6549999999999998</v>
      </c>
      <c r="L240" s="111"/>
      <c r="M240" s="111"/>
      <c r="N240" s="111"/>
      <c r="O240" s="111"/>
    </row>
    <row r="241" spans="2:15" x14ac:dyDescent="0.3">
      <c r="B241" s="114"/>
      <c r="C241" s="233" t="s">
        <v>991</v>
      </c>
      <c r="D241" s="239" t="s">
        <v>0</v>
      </c>
      <c r="E241" s="235">
        <v>1</v>
      </c>
      <c r="F241" s="236">
        <v>2.95</v>
      </c>
      <c r="G241" s="236">
        <v>0.25</v>
      </c>
      <c r="H241" s="237">
        <v>0.6</v>
      </c>
      <c r="I241" s="242">
        <v>1</v>
      </c>
      <c r="J241" s="237"/>
      <c r="K241" s="237">
        <f t="shared" si="12"/>
        <v>2.5075000000000003</v>
      </c>
      <c r="L241" s="111"/>
      <c r="M241" s="111"/>
      <c r="N241" s="111"/>
      <c r="O241" s="111"/>
    </row>
    <row r="242" spans="2:15" x14ac:dyDescent="0.3">
      <c r="B242" s="114"/>
      <c r="C242" s="233" t="s">
        <v>964</v>
      </c>
      <c r="D242" s="239" t="s">
        <v>0</v>
      </c>
      <c r="E242" s="235">
        <v>1</v>
      </c>
      <c r="F242" s="236">
        <v>6.4</v>
      </c>
      <c r="G242" s="236">
        <v>0.25</v>
      </c>
      <c r="H242" s="237">
        <v>0.6</v>
      </c>
      <c r="I242" s="242">
        <v>1</v>
      </c>
      <c r="J242" s="237"/>
      <c r="K242" s="237">
        <f t="shared" si="12"/>
        <v>5.44</v>
      </c>
      <c r="L242" s="111"/>
      <c r="M242" s="111"/>
      <c r="N242" s="111"/>
      <c r="O242" s="111"/>
    </row>
    <row r="243" spans="2:15" x14ac:dyDescent="0.3">
      <c r="B243" s="114"/>
      <c r="C243" s="233" t="s">
        <v>992</v>
      </c>
      <c r="D243" s="239" t="s">
        <v>0</v>
      </c>
      <c r="E243" s="235">
        <v>1</v>
      </c>
      <c r="F243" s="236">
        <v>3.35</v>
      </c>
      <c r="G243" s="236">
        <v>0.35</v>
      </c>
      <c r="H243" s="237">
        <v>0</v>
      </c>
      <c r="I243" s="242">
        <v>1</v>
      </c>
      <c r="J243" s="237"/>
      <c r="K243" s="237">
        <f t="shared" si="12"/>
        <v>1.1724999999999999</v>
      </c>
      <c r="L243" s="111"/>
      <c r="M243" s="111"/>
      <c r="N243" s="111"/>
      <c r="O243" s="111"/>
    </row>
    <row r="244" spans="2:15" x14ac:dyDescent="0.3">
      <c r="B244" s="114"/>
      <c r="C244" s="233" t="s">
        <v>960</v>
      </c>
      <c r="D244" s="239" t="s">
        <v>0</v>
      </c>
      <c r="E244" s="235">
        <v>1</v>
      </c>
      <c r="F244" s="236">
        <v>2.4</v>
      </c>
      <c r="G244" s="236">
        <v>0.35</v>
      </c>
      <c r="H244" s="237">
        <v>0</v>
      </c>
      <c r="I244" s="242">
        <v>1</v>
      </c>
      <c r="J244" s="237"/>
      <c r="K244" s="237">
        <f t="shared" si="12"/>
        <v>0.84</v>
      </c>
      <c r="L244" s="111"/>
      <c r="M244" s="111"/>
      <c r="N244" s="111"/>
      <c r="O244" s="111"/>
    </row>
    <row r="245" spans="2:15" x14ac:dyDescent="0.3">
      <c r="B245" s="114"/>
      <c r="C245" s="233" t="s">
        <v>939</v>
      </c>
      <c r="D245" s="239" t="s">
        <v>0</v>
      </c>
      <c r="E245" s="235">
        <v>1</v>
      </c>
      <c r="F245" s="236">
        <v>2.58</v>
      </c>
      <c r="G245" s="236">
        <v>0.1</v>
      </c>
      <c r="H245" s="237">
        <v>0</v>
      </c>
      <c r="I245" s="242">
        <v>1</v>
      </c>
      <c r="J245" s="237"/>
      <c r="K245" s="237">
        <f t="shared" si="12"/>
        <v>0.25800000000000001</v>
      </c>
      <c r="L245" s="111"/>
      <c r="M245" s="111"/>
      <c r="N245" s="111"/>
      <c r="O245" s="111"/>
    </row>
    <row r="246" spans="2:15" x14ac:dyDescent="0.3">
      <c r="B246" s="114"/>
      <c r="C246" s="233" t="s">
        <v>940</v>
      </c>
      <c r="D246" s="239" t="s">
        <v>0</v>
      </c>
      <c r="E246" s="235">
        <v>1</v>
      </c>
      <c r="F246" s="236">
        <v>1.62</v>
      </c>
      <c r="G246" s="236">
        <v>0.1</v>
      </c>
      <c r="H246" s="237">
        <v>0</v>
      </c>
      <c r="I246" s="242">
        <v>1</v>
      </c>
      <c r="J246" s="237"/>
      <c r="K246" s="237">
        <f t="shared" si="12"/>
        <v>0.16200000000000003</v>
      </c>
      <c r="L246" s="111"/>
      <c r="M246" s="111"/>
      <c r="N246" s="111"/>
      <c r="O246" s="111"/>
    </row>
    <row r="247" spans="2:15" x14ac:dyDescent="0.3">
      <c r="B247" s="114"/>
      <c r="C247" s="233" t="s">
        <v>993</v>
      </c>
      <c r="D247" s="239" t="s">
        <v>0</v>
      </c>
      <c r="E247" s="235">
        <v>1</v>
      </c>
      <c r="F247" s="236">
        <v>1.2</v>
      </c>
      <c r="G247" s="236">
        <v>0.35</v>
      </c>
      <c r="H247" s="237">
        <v>0</v>
      </c>
      <c r="I247" s="242">
        <v>1</v>
      </c>
      <c r="J247" s="237"/>
      <c r="K247" s="237">
        <f t="shared" si="12"/>
        <v>0.42</v>
      </c>
      <c r="L247" s="111"/>
      <c r="M247" s="111"/>
      <c r="N247" s="111"/>
      <c r="O247" s="111"/>
    </row>
    <row r="248" spans="2:15" x14ac:dyDescent="0.3">
      <c r="B248" s="114"/>
      <c r="C248" s="233" t="s">
        <v>994</v>
      </c>
      <c r="D248" s="239" t="s">
        <v>0</v>
      </c>
      <c r="E248" s="235">
        <v>1</v>
      </c>
      <c r="F248" s="236">
        <v>1.2</v>
      </c>
      <c r="G248" s="236">
        <v>0.35</v>
      </c>
      <c r="H248" s="237">
        <v>0</v>
      </c>
      <c r="I248" s="242">
        <v>1</v>
      </c>
      <c r="J248" s="237"/>
      <c r="K248" s="237">
        <f t="shared" si="12"/>
        <v>0.42</v>
      </c>
      <c r="L248" s="111"/>
      <c r="M248" s="111"/>
      <c r="N248" s="111"/>
      <c r="O248" s="111"/>
    </row>
    <row r="249" spans="2:15" x14ac:dyDescent="0.3">
      <c r="B249" s="114"/>
      <c r="C249" s="233" t="s">
        <v>995</v>
      </c>
      <c r="D249" s="239" t="s">
        <v>0</v>
      </c>
      <c r="E249" s="235">
        <v>1</v>
      </c>
      <c r="F249" s="236">
        <v>1.2</v>
      </c>
      <c r="G249" s="236">
        <v>0.35</v>
      </c>
      <c r="H249" s="237">
        <v>0</v>
      </c>
      <c r="I249" s="242">
        <v>1</v>
      </c>
      <c r="J249" s="237"/>
      <c r="K249" s="237">
        <f t="shared" si="12"/>
        <v>0.42</v>
      </c>
      <c r="L249" s="111"/>
      <c r="M249" s="111"/>
      <c r="N249" s="111"/>
      <c r="O249" s="111"/>
    </row>
    <row r="250" spans="2:15" x14ac:dyDescent="0.3">
      <c r="B250" s="114"/>
      <c r="C250" s="233" t="s">
        <v>996</v>
      </c>
      <c r="D250" s="239" t="s">
        <v>0</v>
      </c>
      <c r="E250" s="235">
        <v>1</v>
      </c>
      <c r="F250" s="236">
        <v>2.95</v>
      </c>
      <c r="G250" s="236">
        <v>0.1</v>
      </c>
      <c r="H250" s="237">
        <v>0.3</v>
      </c>
      <c r="I250" s="242">
        <v>1</v>
      </c>
      <c r="J250" s="237"/>
      <c r="K250" s="237">
        <f t="shared" si="12"/>
        <v>1.1800000000000002</v>
      </c>
      <c r="L250" s="111"/>
      <c r="M250" s="111"/>
      <c r="N250" s="111"/>
      <c r="O250" s="111"/>
    </row>
    <row r="251" spans="2:15" x14ac:dyDescent="0.3">
      <c r="B251" s="114"/>
      <c r="C251" s="233" t="s">
        <v>997</v>
      </c>
      <c r="D251" s="239" t="s">
        <v>0</v>
      </c>
      <c r="E251" s="235">
        <v>1</v>
      </c>
      <c r="F251" s="236">
        <v>6.4</v>
      </c>
      <c r="G251" s="236">
        <v>0.1</v>
      </c>
      <c r="H251" s="237">
        <v>0.3</v>
      </c>
      <c r="I251" s="242">
        <v>1</v>
      </c>
      <c r="J251" s="237"/>
      <c r="K251" s="237">
        <f t="shared" si="12"/>
        <v>2.5600000000000005</v>
      </c>
      <c r="L251" s="111"/>
      <c r="M251" s="111"/>
      <c r="N251" s="111"/>
      <c r="O251" s="111"/>
    </row>
    <row r="252" spans="2:15" x14ac:dyDescent="0.3">
      <c r="B252" s="114"/>
      <c r="C252" s="233" t="s">
        <v>995</v>
      </c>
      <c r="D252" s="239" t="s">
        <v>0</v>
      </c>
      <c r="E252" s="235">
        <v>1</v>
      </c>
      <c r="F252" s="236">
        <v>0.95</v>
      </c>
      <c r="G252" s="236">
        <v>0.1</v>
      </c>
      <c r="H252" s="237">
        <v>0.3</v>
      </c>
      <c r="I252" s="242">
        <v>1</v>
      </c>
      <c r="J252" s="237"/>
      <c r="K252" s="237">
        <f t="shared" si="12"/>
        <v>0.38</v>
      </c>
      <c r="L252" s="111"/>
      <c r="M252" s="111"/>
      <c r="N252" s="111"/>
      <c r="O252" s="111"/>
    </row>
    <row r="253" spans="2:15" x14ac:dyDescent="0.3">
      <c r="B253" s="114"/>
      <c r="C253" s="233" t="s">
        <v>998</v>
      </c>
      <c r="D253" s="239" t="s">
        <v>0</v>
      </c>
      <c r="E253" s="235">
        <v>1</v>
      </c>
      <c r="F253" s="236">
        <v>1.2</v>
      </c>
      <c r="G253" s="236">
        <v>0.25</v>
      </c>
      <c r="H253" s="237">
        <v>0</v>
      </c>
      <c r="I253" s="242">
        <v>1</v>
      </c>
      <c r="J253" s="237"/>
      <c r="K253" s="237">
        <f t="shared" si="12"/>
        <v>0.3</v>
      </c>
      <c r="L253" s="111"/>
      <c r="M253" s="111"/>
      <c r="N253" s="111"/>
      <c r="O253" s="111"/>
    </row>
    <row r="254" spans="2:15" x14ac:dyDescent="0.3">
      <c r="B254" s="106"/>
      <c r="C254" s="233" t="s">
        <v>999</v>
      </c>
      <c r="D254" s="239" t="s">
        <v>0</v>
      </c>
      <c r="E254" s="235">
        <v>1</v>
      </c>
      <c r="F254" s="236">
        <v>1.2</v>
      </c>
      <c r="G254" s="236">
        <v>0.25</v>
      </c>
      <c r="H254" s="237">
        <v>0</v>
      </c>
      <c r="I254" s="242">
        <v>1</v>
      </c>
      <c r="J254" s="237"/>
      <c r="K254" s="237">
        <f t="shared" si="12"/>
        <v>0.3</v>
      </c>
      <c r="L254" s="113"/>
      <c r="M254" s="113"/>
      <c r="N254" s="113"/>
      <c r="O254" s="113"/>
    </row>
    <row r="255" spans="2:15" x14ac:dyDescent="0.3">
      <c r="B255" s="106"/>
      <c r="C255" s="233" t="s">
        <v>1000</v>
      </c>
      <c r="D255" s="239" t="s">
        <v>0</v>
      </c>
      <c r="E255" s="235">
        <v>1</v>
      </c>
      <c r="F255" s="236">
        <v>6</v>
      </c>
      <c r="G255" s="236">
        <v>0.25</v>
      </c>
      <c r="H255" s="237">
        <v>0.3</v>
      </c>
      <c r="I255" s="242">
        <v>1</v>
      </c>
      <c r="J255" s="237"/>
      <c r="K255" s="237">
        <f t="shared" si="12"/>
        <v>3.3000000000000003</v>
      </c>
      <c r="L255" s="113"/>
      <c r="M255" s="113"/>
      <c r="N255" s="113"/>
      <c r="O255" s="113"/>
    </row>
    <row r="256" spans="2:15" x14ac:dyDescent="0.3">
      <c r="B256" s="106"/>
      <c r="C256" s="233" t="s">
        <v>999</v>
      </c>
      <c r="D256" s="239" t="s">
        <v>0</v>
      </c>
      <c r="E256" s="235">
        <v>1</v>
      </c>
      <c r="F256" s="236">
        <v>1.35</v>
      </c>
      <c r="G256" s="236">
        <v>0.25</v>
      </c>
      <c r="H256" s="237">
        <v>0.3</v>
      </c>
      <c r="I256" s="242">
        <v>1</v>
      </c>
      <c r="J256" s="237"/>
      <c r="K256" s="237">
        <f t="shared" si="12"/>
        <v>0.74250000000000016</v>
      </c>
      <c r="L256" s="113"/>
      <c r="M256" s="113"/>
      <c r="N256" s="113"/>
      <c r="O256" s="113"/>
    </row>
    <row r="257" spans="2:15" x14ac:dyDescent="0.3">
      <c r="B257" s="106"/>
      <c r="C257" s="115"/>
      <c r="D257" s="144"/>
      <c r="E257" s="3"/>
      <c r="F257" s="122"/>
      <c r="G257" s="122"/>
      <c r="H257" s="113"/>
      <c r="I257" s="119"/>
      <c r="J257" s="113"/>
      <c r="K257" s="113"/>
      <c r="L257" s="113"/>
      <c r="M257" s="113"/>
      <c r="N257" s="113"/>
      <c r="O257" s="113"/>
    </row>
    <row r="258" spans="2:15" x14ac:dyDescent="0.3">
      <c r="B258" s="99" t="s">
        <v>1184</v>
      </c>
      <c r="C258" s="226" t="s">
        <v>420</v>
      </c>
      <c r="D258" s="132" t="s">
        <v>0</v>
      </c>
      <c r="E258" s="1"/>
      <c r="F258" s="2"/>
      <c r="G258" s="2"/>
      <c r="H258" s="206"/>
      <c r="I258" s="102"/>
      <c r="J258" s="103"/>
      <c r="K258" s="103"/>
      <c r="L258" s="103"/>
      <c r="M258" s="103"/>
      <c r="N258" s="103"/>
      <c r="O258" s="103">
        <f>SUM(K259:K291)</f>
        <v>31.347000000000001</v>
      </c>
    </row>
    <row r="259" spans="2:15" x14ac:dyDescent="0.3">
      <c r="B259" s="118"/>
      <c r="C259" s="253" t="s">
        <v>127</v>
      </c>
      <c r="D259" s="260"/>
      <c r="E259" s="255"/>
      <c r="F259" s="256"/>
      <c r="G259" s="256"/>
      <c r="H259" s="281"/>
      <c r="I259" s="277"/>
      <c r="J259" s="231"/>
      <c r="K259" s="231"/>
      <c r="L259" s="113"/>
      <c r="M259" s="113"/>
      <c r="N259" s="113"/>
      <c r="O259" s="113"/>
    </row>
    <row r="260" spans="2:15" x14ac:dyDescent="0.3">
      <c r="B260" s="118"/>
      <c r="C260" s="257" t="s">
        <v>266</v>
      </c>
      <c r="D260" s="260"/>
      <c r="E260" s="255"/>
      <c r="F260" s="256"/>
      <c r="G260" s="256"/>
      <c r="H260" s="281"/>
      <c r="I260" s="277"/>
      <c r="J260" s="231"/>
      <c r="K260" s="231"/>
      <c r="L260" s="113"/>
      <c r="M260" s="113"/>
      <c r="N260" s="113"/>
      <c r="O260" s="113"/>
    </row>
    <row r="261" spans="2:15" x14ac:dyDescent="0.3">
      <c r="B261" s="114"/>
      <c r="C261" s="233" t="s">
        <v>88</v>
      </c>
      <c r="D261" s="239" t="s">
        <v>0</v>
      </c>
      <c r="E261" s="235">
        <v>1</v>
      </c>
      <c r="F261" s="236">
        <v>0.15</v>
      </c>
      <c r="G261" s="236">
        <v>2.95</v>
      </c>
      <c r="H261" s="268">
        <v>0.85</v>
      </c>
      <c r="I261" s="242">
        <v>1</v>
      </c>
      <c r="J261" s="237"/>
      <c r="K261" s="237">
        <f t="shared" ref="K261:K264" si="13">((G261+H261)*2)*E261*F261*I261</f>
        <v>1.1400000000000001</v>
      </c>
      <c r="L261" s="111"/>
      <c r="M261" s="111"/>
      <c r="N261" s="111"/>
      <c r="O261" s="111"/>
    </row>
    <row r="262" spans="2:15" x14ac:dyDescent="0.3">
      <c r="B262" s="114"/>
      <c r="C262" s="233" t="s">
        <v>87</v>
      </c>
      <c r="D262" s="239" t="s">
        <v>0</v>
      </c>
      <c r="E262" s="235">
        <v>1</v>
      </c>
      <c r="F262" s="236">
        <v>0.15</v>
      </c>
      <c r="G262" s="236">
        <v>0.62</v>
      </c>
      <c r="H262" s="268">
        <v>0.85</v>
      </c>
      <c r="I262" s="242">
        <v>1</v>
      </c>
      <c r="J262" s="237"/>
      <c r="K262" s="237">
        <f t="shared" si="13"/>
        <v>0.441</v>
      </c>
      <c r="L262" s="111"/>
      <c r="M262" s="111"/>
      <c r="N262" s="111"/>
      <c r="O262" s="111"/>
    </row>
    <row r="263" spans="2:15" x14ac:dyDescent="0.3">
      <c r="B263" s="114"/>
      <c r="C263" s="233" t="s">
        <v>136</v>
      </c>
      <c r="D263" s="239" t="s">
        <v>0</v>
      </c>
      <c r="E263" s="235">
        <v>1</v>
      </c>
      <c r="F263" s="236">
        <v>0.15</v>
      </c>
      <c r="G263" s="236">
        <v>2.58</v>
      </c>
      <c r="H263" s="268">
        <v>0.85</v>
      </c>
      <c r="I263" s="242">
        <v>1</v>
      </c>
      <c r="J263" s="237"/>
      <c r="K263" s="237">
        <f t="shared" si="13"/>
        <v>1.0289999999999999</v>
      </c>
      <c r="L263" s="111"/>
      <c r="M263" s="111"/>
      <c r="N263" s="111"/>
      <c r="O263" s="111"/>
    </row>
    <row r="264" spans="2:15" x14ac:dyDescent="0.3">
      <c r="B264" s="114"/>
      <c r="C264" s="233" t="s">
        <v>942</v>
      </c>
      <c r="D264" s="239" t="s">
        <v>0</v>
      </c>
      <c r="E264" s="235">
        <v>1</v>
      </c>
      <c r="F264" s="236">
        <v>0.15</v>
      </c>
      <c r="G264" s="236">
        <v>1.62</v>
      </c>
      <c r="H264" s="268">
        <v>0.85</v>
      </c>
      <c r="I264" s="242">
        <v>1</v>
      </c>
      <c r="J264" s="237"/>
      <c r="K264" s="237">
        <f t="shared" si="13"/>
        <v>0.74099999999999999</v>
      </c>
      <c r="L264" s="111"/>
      <c r="M264" s="111"/>
      <c r="N264" s="111"/>
      <c r="O264" s="111"/>
    </row>
    <row r="265" spans="2:15" x14ac:dyDescent="0.3">
      <c r="B265" s="118"/>
      <c r="C265" s="257" t="s">
        <v>129</v>
      </c>
      <c r="D265" s="260"/>
      <c r="E265" s="255"/>
      <c r="F265" s="256"/>
      <c r="G265" s="256"/>
      <c r="H265" s="283"/>
      <c r="I265" s="277"/>
      <c r="J265" s="231"/>
      <c r="K265" s="231"/>
      <c r="L265" s="113"/>
      <c r="M265" s="113"/>
      <c r="N265" s="113"/>
      <c r="O265" s="113"/>
    </row>
    <row r="266" spans="2:15" x14ac:dyDescent="0.3">
      <c r="B266" s="114"/>
      <c r="C266" s="233" t="s">
        <v>130</v>
      </c>
      <c r="D266" s="239" t="s">
        <v>0</v>
      </c>
      <c r="E266" s="235">
        <v>1</v>
      </c>
      <c r="F266" s="236">
        <v>0.15</v>
      </c>
      <c r="G266" s="236">
        <v>1</v>
      </c>
      <c r="H266" s="268">
        <v>2.95</v>
      </c>
      <c r="I266" s="242">
        <v>1</v>
      </c>
      <c r="J266" s="237"/>
      <c r="K266" s="237">
        <f t="shared" ref="K266:K269" si="14">((G266+H266)*2)*E266*F266*I266</f>
        <v>1.1850000000000001</v>
      </c>
      <c r="L266" s="111"/>
      <c r="M266" s="111"/>
      <c r="N266" s="111"/>
      <c r="O266" s="111"/>
    </row>
    <row r="267" spans="2:15" x14ac:dyDescent="0.3">
      <c r="B267" s="114"/>
      <c r="C267" s="233" t="s">
        <v>131</v>
      </c>
      <c r="D267" s="239" t="s">
        <v>0</v>
      </c>
      <c r="E267" s="235">
        <v>1</v>
      </c>
      <c r="F267" s="236">
        <v>0.15</v>
      </c>
      <c r="G267" s="236">
        <v>1</v>
      </c>
      <c r="H267" s="268">
        <v>1.8</v>
      </c>
      <c r="I267" s="242">
        <v>1</v>
      </c>
      <c r="J267" s="237"/>
      <c r="K267" s="237">
        <f t="shared" si="14"/>
        <v>0.84</v>
      </c>
      <c r="L267" s="111"/>
      <c r="M267" s="111"/>
      <c r="N267" s="111"/>
      <c r="O267" s="111"/>
    </row>
    <row r="268" spans="2:15" x14ac:dyDescent="0.3">
      <c r="B268" s="114"/>
      <c r="C268" s="233" t="s">
        <v>132</v>
      </c>
      <c r="D268" s="239" t="s">
        <v>0</v>
      </c>
      <c r="E268" s="235">
        <v>1</v>
      </c>
      <c r="F268" s="236">
        <v>0.15</v>
      </c>
      <c r="G268" s="236">
        <v>0.7</v>
      </c>
      <c r="H268" s="268">
        <v>1.8</v>
      </c>
      <c r="I268" s="242">
        <v>1</v>
      </c>
      <c r="J268" s="237"/>
      <c r="K268" s="237">
        <f t="shared" si="14"/>
        <v>0.75</v>
      </c>
      <c r="L268" s="111"/>
      <c r="M268" s="111"/>
      <c r="N268" s="111"/>
      <c r="O268" s="111"/>
    </row>
    <row r="269" spans="2:15" x14ac:dyDescent="0.3">
      <c r="B269" s="114"/>
      <c r="C269" s="233" t="s">
        <v>133</v>
      </c>
      <c r="D269" s="239" t="s">
        <v>0</v>
      </c>
      <c r="E269" s="235">
        <v>9</v>
      </c>
      <c r="F269" s="236">
        <v>0.15</v>
      </c>
      <c r="G269" s="236">
        <v>0.6</v>
      </c>
      <c r="H269" s="268">
        <v>1.8</v>
      </c>
      <c r="I269" s="242">
        <v>1</v>
      </c>
      <c r="J269" s="237"/>
      <c r="K269" s="237">
        <f t="shared" si="14"/>
        <v>6.4799999999999995</v>
      </c>
      <c r="L269" s="111"/>
      <c r="M269" s="111"/>
      <c r="N269" s="111"/>
      <c r="O269" s="111"/>
    </row>
    <row r="270" spans="2:15" x14ac:dyDescent="0.3">
      <c r="B270" s="118"/>
      <c r="C270" s="253" t="s">
        <v>68</v>
      </c>
      <c r="D270" s="260"/>
      <c r="E270" s="255"/>
      <c r="F270" s="256"/>
      <c r="G270" s="256"/>
      <c r="H270" s="283"/>
      <c r="I270" s="277"/>
      <c r="J270" s="231"/>
      <c r="K270" s="231"/>
      <c r="L270" s="113"/>
      <c r="M270" s="113"/>
      <c r="N270" s="113"/>
      <c r="O270" s="113"/>
    </row>
    <row r="271" spans="2:15" x14ac:dyDescent="0.3">
      <c r="B271" s="118"/>
      <c r="C271" s="257" t="s">
        <v>266</v>
      </c>
      <c r="D271" s="260"/>
      <c r="E271" s="255"/>
      <c r="F271" s="256"/>
      <c r="G271" s="256"/>
      <c r="H271" s="283"/>
      <c r="I271" s="277"/>
      <c r="J271" s="231"/>
      <c r="K271" s="231"/>
      <c r="L271" s="113"/>
      <c r="M271" s="113"/>
      <c r="N271" s="113"/>
      <c r="O271" s="113"/>
    </row>
    <row r="272" spans="2:15" x14ac:dyDescent="0.3">
      <c r="B272" s="114"/>
      <c r="C272" s="233" t="s">
        <v>136</v>
      </c>
      <c r="D272" s="239" t="s">
        <v>0</v>
      </c>
      <c r="E272" s="235">
        <v>1</v>
      </c>
      <c r="F272" s="236">
        <v>0.15</v>
      </c>
      <c r="G272" s="236">
        <v>1.62</v>
      </c>
      <c r="H272" s="268">
        <v>0.85</v>
      </c>
      <c r="I272" s="242">
        <v>1</v>
      </c>
      <c r="J272" s="237"/>
      <c r="K272" s="237">
        <f t="shared" ref="K272:K275" si="15">((G272+H272)*2)*E272*F272*I272</f>
        <v>0.74099999999999999</v>
      </c>
      <c r="L272" s="111"/>
      <c r="M272" s="111"/>
      <c r="N272" s="111"/>
      <c r="O272" s="111"/>
    </row>
    <row r="273" spans="2:15" x14ac:dyDescent="0.3">
      <c r="B273" s="114"/>
      <c r="C273" s="233" t="s">
        <v>658</v>
      </c>
      <c r="D273" s="239" t="s">
        <v>0</v>
      </c>
      <c r="E273" s="235">
        <v>1</v>
      </c>
      <c r="F273" s="236">
        <v>0.15</v>
      </c>
      <c r="G273" s="236">
        <v>1.88</v>
      </c>
      <c r="H273" s="268">
        <v>1.75</v>
      </c>
      <c r="I273" s="242">
        <v>1</v>
      </c>
      <c r="J273" s="237"/>
      <c r="K273" s="237">
        <f t="shared" si="15"/>
        <v>1.089</v>
      </c>
      <c r="L273" s="111"/>
      <c r="M273" s="111"/>
      <c r="N273" s="111"/>
      <c r="O273" s="111"/>
    </row>
    <row r="274" spans="2:15" x14ac:dyDescent="0.3">
      <c r="B274" s="114"/>
      <c r="C274" s="233" t="s">
        <v>950</v>
      </c>
      <c r="D274" s="239" t="s">
        <v>0</v>
      </c>
      <c r="E274" s="235">
        <v>1</v>
      </c>
      <c r="F274" s="236">
        <v>0.15</v>
      </c>
      <c r="G274" s="236">
        <v>0.63</v>
      </c>
      <c r="H274" s="268">
        <v>0.85</v>
      </c>
      <c r="I274" s="242">
        <v>1</v>
      </c>
      <c r="J274" s="237"/>
      <c r="K274" s="237">
        <f t="shared" si="15"/>
        <v>0.44400000000000001</v>
      </c>
      <c r="L274" s="111"/>
      <c r="M274" s="111"/>
      <c r="N274" s="111"/>
      <c r="O274" s="111"/>
    </row>
    <row r="275" spans="2:15" x14ac:dyDescent="0.3">
      <c r="B275" s="114"/>
      <c r="C275" s="233" t="s">
        <v>951</v>
      </c>
      <c r="D275" s="239" t="s">
        <v>0</v>
      </c>
      <c r="E275" s="235">
        <v>1</v>
      </c>
      <c r="F275" s="236">
        <v>0.15</v>
      </c>
      <c r="G275" s="236">
        <v>1.62</v>
      </c>
      <c r="H275" s="268">
        <v>1.75</v>
      </c>
      <c r="I275" s="242">
        <v>1</v>
      </c>
      <c r="J275" s="237"/>
      <c r="K275" s="237">
        <f t="shared" si="15"/>
        <v>1.0109999999999999</v>
      </c>
      <c r="L275" s="111"/>
      <c r="M275" s="111"/>
      <c r="N275" s="111"/>
      <c r="O275" s="111"/>
    </row>
    <row r="276" spans="2:15" x14ac:dyDescent="0.3">
      <c r="B276" s="118"/>
      <c r="C276" s="257" t="s">
        <v>129</v>
      </c>
      <c r="D276" s="260"/>
      <c r="E276" s="255"/>
      <c r="F276" s="256"/>
      <c r="G276" s="256"/>
      <c r="H276" s="281"/>
      <c r="I276" s="277"/>
      <c r="J276" s="231"/>
      <c r="K276" s="231"/>
      <c r="L276" s="113"/>
      <c r="M276" s="113"/>
      <c r="N276" s="113"/>
      <c r="O276" s="113"/>
    </row>
    <row r="277" spans="2:15" x14ac:dyDescent="0.3">
      <c r="B277" s="118"/>
      <c r="C277" s="233" t="s">
        <v>1001</v>
      </c>
      <c r="D277" s="239" t="s">
        <v>0</v>
      </c>
      <c r="E277" s="235">
        <v>1</v>
      </c>
      <c r="F277" s="236">
        <v>0.15</v>
      </c>
      <c r="G277" s="236">
        <v>1</v>
      </c>
      <c r="H277" s="268">
        <v>3.02</v>
      </c>
      <c r="I277" s="242">
        <v>1</v>
      </c>
      <c r="J277" s="237"/>
      <c r="K277" s="237">
        <f t="shared" ref="K277:K282" si="16">((G277+H277)*2)*E277*F277*I277</f>
        <v>1.2059999999999997</v>
      </c>
      <c r="L277" s="113"/>
      <c r="M277" s="113"/>
      <c r="N277" s="113"/>
      <c r="O277" s="113"/>
    </row>
    <row r="278" spans="2:15" x14ac:dyDescent="0.3">
      <c r="B278" s="114"/>
      <c r="C278" s="233" t="s">
        <v>1002</v>
      </c>
      <c r="D278" s="239" t="s">
        <v>0</v>
      </c>
      <c r="E278" s="235">
        <v>1</v>
      </c>
      <c r="F278" s="236">
        <v>0.15</v>
      </c>
      <c r="G278" s="236">
        <v>1.1499999999999999</v>
      </c>
      <c r="H278" s="268">
        <v>2.95</v>
      </c>
      <c r="I278" s="242">
        <v>1</v>
      </c>
      <c r="J278" s="237"/>
      <c r="K278" s="237">
        <f t="shared" si="16"/>
        <v>1.2299999999999998</v>
      </c>
      <c r="L278" s="111"/>
      <c r="M278" s="111"/>
      <c r="N278" s="111"/>
      <c r="O278" s="111"/>
    </row>
    <row r="279" spans="2:15" x14ac:dyDescent="0.3">
      <c r="B279" s="114"/>
      <c r="C279" s="233" t="s">
        <v>1003</v>
      </c>
      <c r="D279" s="239" t="s">
        <v>0</v>
      </c>
      <c r="E279" s="235">
        <v>1</v>
      </c>
      <c r="F279" s="236">
        <v>0.15</v>
      </c>
      <c r="G279" s="236">
        <v>0.8</v>
      </c>
      <c r="H279" s="268">
        <v>2.95</v>
      </c>
      <c r="I279" s="242">
        <v>1</v>
      </c>
      <c r="J279" s="237"/>
      <c r="K279" s="237">
        <f t="shared" si="16"/>
        <v>1.125</v>
      </c>
      <c r="L279" s="111"/>
      <c r="M279" s="111"/>
      <c r="N279" s="111"/>
      <c r="O279" s="111"/>
    </row>
    <row r="280" spans="2:15" x14ac:dyDescent="0.3">
      <c r="B280" s="114"/>
      <c r="C280" s="233" t="s">
        <v>1004</v>
      </c>
      <c r="D280" s="239" t="s">
        <v>0</v>
      </c>
      <c r="E280" s="235">
        <v>1</v>
      </c>
      <c r="F280" s="236">
        <v>0.15</v>
      </c>
      <c r="G280" s="236">
        <v>0.7</v>
      </c>
      <c r="H280" s="268">
        <v>2.95</v>
      </c>
      <c r="I280" s="242">
        <v>1</v>
      </c>
      <c r="J280" s="237"/>
      <c r="K280" s="237">
        <f t="shared" si="16"/>
        <v>1.095</v>
      </c>
      <c r="L280" s="111"/>
      <c r="M280" s="111"/>
      <c r="N280" s="111"/>
      <c r="O280" s="111"/>
    </row>
    <row r="281" spans="2:15" x14ac:dyDescent="0.3">
      <c r="B281" s="114"/>
      <c r="C281" s="233" t="s">
        <v>1005</v>
      </c>
      <c r="D281" s="239" t="s">
        <v>0</v>
      </c>
      <c r="E281" s="235">
        <v>1</v>
      </c>
      <c r="F281" s="236">
        <v>0.15</v>
      </c>
      <c r="G281" s="236">
        <v>0.9</v>
      </c>
      <c r="H281" s="268">
        <v>2.95</v>
      </c>
      <c r="I281" s="242">
        <v>1</v>
      </c>
      <c r="J281" s="237"/>
      <c r="K281" s="237">
        <f t="shared" si="16"/>
        <v>1.155</v>
      </c>
      <c r="L281" s="111"/>
      <c r="M281" s="111"/>
      <c r="N281" s="111"/>
      <c r="O281" s="111"/>
    </row>
    <row r="282" spans="2:15" x14ac:dyDescent="0.3">
      <c r="B282" s="114"/>
      <c r="C282" s="233" t="s">
        <v>1006</v>
      </c>
      <c r="D282" s="239" t="s">
        <v>0</v>
      </c>
      <c r="E282" s="235">
        <v>1</v>
      </c>
      <c r="F282" s="236">
        <v>0.15</v>
      </c>
      <c r="G282" s="236">
        <v>0.9</v>
      </c>
      <c r="H282" s="268">
        <v>2.95</v>
      </c>
      <c r="I282" s="242">
        <v>1</v>
      </c>
      <c r="J282" s="237"/>
      <c r="K282" s="237">
        <f t="shared" si="16"/>
        <v>1.155</v>
      </c>
      <c r="L282" s="111"/>
      <c r="M282" s="111"/>
      <c r="N282" s="111"/>
      <c r="O282" s="111"/>
    </row>
    <row r="283" spans="2:15" x14ac:dyDescent="0.3">
      <c r="B283" s="118"/>
      <c r="C283" s="253" t="s">
        <v>106</v>
      </c>
      <c r="D283" s="260"/>
      <c r="E283" s="255"/>
      <c r="F283" s="256"/>
      <c r="G283" s="256"/>
      <c r="H283" s="283"/>
      <c r="I283" s="277"/>
      <c r="J283" s="231"/>
      <c r="K283" s="231"/>
      <c r="L283" s="113"/>
      <c r="M283" s="113"/>
      <c r="N283" s="113"/>
      <c r="O283" s="113"/>
    </row>
    <row r="284" spans="2:15" x14ac:dyDescent="0.3">
      <c r="B284" s="118"/>
      <c r="C284" s="257" t="s">
        <v>266</v>
      </c>
      <c r="D284" s="260"/>
      <c r="E284" s="255"/>
      <c r="F284" s="256"/>
      <c r="G284" s="256"/>
      <c r="H284" s="283"/>
      <c r="I284" s="277"/>
      <c r="J284" s="231"/>
      <c r="K284" s="231"/>
      <c r="L284" s="113"/>
      <c r="M284" s="113"/>
      <c r="N284" s="113"/>
      <c r="O284" s="113"/>
    </row>
    <row r="285" spans="2:15" x14ac:dyDescent="0.3">
      <c r="B285" s="118"/>
      <c r="C285" s="233" t="s">
        <v>962</v>
      </c>
      <c r="D285" s="239" t="s">
        <v>0</v>
      </c>
      <c r="E285" s="235">
        <v>1</v>
      </c>
      <c r="F285" s="236">
        <v>0.15</v>
      </c>
      <c r="G285" s="236">
        <v>2.58</v>
      </c>
      <c r="H285" s="268">
        <v>1.75</v>
      </c>
      <c r="I285" s="242">
        <v>1</v>
      </c>
      <c r="J285" s="237"/>
      <c r="K285" s="237">
        <f t="shared" ref="K285:K287" si="17">((G285+H285)*2)*E285*F285*I285</f>
        <v>1.2989999999999999</v>
      </c>
      <c r="L285" s="113"/>
      <c r="M285" s="113"/>
      <c r="N285" s="113"/>
      <c r="O285" s="113"/>
    </row>
    <row r="286" spans="2:15" x14ac:dyDescent="0.3">
      <c r="B286" s="114"/>
      <c r="C286" s="233" t="s">
        <v>951</v>
      </c>
      <c r="D286" s="239" t="s">
        <v>0</v>
      </c>
      <c r="E286" s="235">
        <v>2</v>
      </c>
      <c r="F286" s="236">
        <v>0.15</v>
      </c>
      <c r="G286" s="236">
        <v>1.62</v>
      </c>
      <c r="H286" s="268">
        <v>1.75</v>
      </c>
      <c r="I286" s="242">
        <v>1</v>
      </c>
      <c r="J286" s="237"/>
      <c r="K286" s="237">
        <f t="shared" si="17"/>
        <v>2.0219999999999998</v>
      </c>
      <c r="L286" s="111"/>
      <c r="M286" s="111"/>
      <c r="N286" s="111"/>
      <c r="O286" s="111"/>
    </row>
    <row r="287" spans="2:15" x14ac:dyDescent="0.3">
      <c r="B287" s="114"/>
      <c r="C287" s="233" t="s">
        <v>963</v>
      </c>
      <c r="D287" s="239" t="s">
        <v>0</v>
      </c>
      <c r="E287" s="235">
        <v>2</v>
      </c>
      <c r="F287" s="236">
        <v>0.15</v>
      </c>
      <c r="G287" s="236">
        <v>1.2</v>
      </c>
      <c r="H287" s="268">
        <v>0.85</v>
      </c>
      <c r="I287" s="242">
        <v>1</v>
      </c>
      <c r="J287" s="237"/>
      <c r="K287" s="237">
        <f t="shared" si="17"/>
        <v>1.2299999999999998</v>
      </c>
      <c r="L287" s="111"/>
      <c r="M287" s="111"/>
      <c r="N287" s="111"/>
      <c r="O287" s="111"/>
    </row>
    <row r="288" spans="2:15" x14ac:dyDescent="0.3">
      <c r="B288" s="118"/>
      <c r="C288" s="257" t="s">
        <v>129</v>
      </c>
      <c r="D288" s="260"/>
      <c r="E288" s="255"/>
      <c r="F288" s="256"/>
      <c r="G288" s="256"/>
      <c r="H288" s="283"/>
      <c r="I288" s="277"/>
      <c r="J288" s="231"/>
      <c r="K288" s="231"/>
      <c r="L288" s="113"/>
      <c r="M288" s="113"/>
      <c r="N288" s="113"/>
      <c r="O288" s="113"/>
    </row>
    <row r="289" spans="2:15" x14ac:dyDescent="0.3">
      <c r="B289" s="118"/>
      <c r="C289" s="233" t="s">
        <v>1007</v>
      </c>
      <c r="D289" s="239" t="s">
        <v>0</v>
      </c>
      <c r="E289" s="235">
        <v>1</v>
      </c>
      <c r="F289" s="236">
        <v>0.15</v>
      </c>
      <c r="G289" s="236">
        <v>2.58</v>
      </c>
      <c r="H289" s="268">
        <v>2.95</v>
      </c>
      <c r="I289" s="242">
        <v>1</v>
      </c>
      <c r="J289" s="237"/>
      <c r="K289" s="237">
        <f>((G289+H289)*2)*E289*F289*I289</f>
        <v>1.659</v>
      </c>
      <c r="L289" s="113"/>
      <c r="M289" s="113"/>
      <c r="N289" s="113"/>
      <c r="O289" s="113"/>
    </row>
    <row r="290" spans="2:15" x14ac:dyDescent="0.3">
      <c r="B290" s="114"/>
      <c r="C290" s="233" t="s">
        <v>1008</v>
      </c>
      <c r="D290" s="239" t="s">
        <v>0</v>
      </c>
      <c r="E290" s="235">
        <v>2</v>
      </c>
      <c r="F290" s="236">
        <v>0.15</v>
      </c>
      <c r="G290" s="236">
        <v>0.85</v>
      </c>
      <c r="H290" s="268">
        <v>2.95</v>
      </c>
      <c r="I290" s="242">
        <v>1</v>
      </c>
      <c r="J290" s="237"/>
      <c r="K290" s="237">
        <f>((G290+H290)*2)*E290*F290*I290</f>
        <v>2.2800000000000002</v>
      </c>
      <c r="L290" s="111"/>
      <c r="M290" s="111"/>
      <c r="N290" s="111"/>
      <c r="O290" s="111"/>
    </row>
    <row r="291" spans="2:15" ht="14.4" x14ac:dyDescent="0.3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3">
      <c r="B292" s="99" t="s">
        <v>1185</v>
      </c>
      <c r="C292" s="226" t="s">
        <v>159</v>
      </c>
      <c r="D292" s="132" t="s">
        <v>0</v>
      </c>
      <c r="E292" s="1"/>
      <c r="F292" s="2"/>
      <c r="G292" s="2"/>
      <c r="H292" s="206"/>
      <c r="I292" s="102"/>
      <c r="J292" s="103"/>
      <c r="K292" s="103"/>
      <c r="L292" s="103"/>
      <c r="M292" s="103"/>
      <c r="N292" s="103"/>
      <c r="O292" s="103">
        <f>SUM(K293:K320)</f>
        <v>199.87000000000003</v>
      </c>
    </row>
    <row r="293" spans="2:15" x14ac:dyDescent="0.3">
      <c r="B293" s="106"/>
      <c r="C293" s="227" t="s">
        <v>127</v>
      </c>
      <c r="D293" s="262"/>
      <c r="E293" s="229"/>
      <c r="F293" s="230"/>
      <c r="G293" s="230"/>
      <c r="H293" s="231"/>
      <c r="I293" s="277"/>
      <c r="J293" s="231"/>
      <c r="K293" s="231"/>
      <c r="L293" s="113"/>
      <c r="M293" s="113"/>
      <c r="N293" s="113"/>
      <c r="O293" s="113"/>
    </row>
    <row r="294" spans="2:15" x14ac:dyDescent="0.3">
      <c r="B294" s="114"/>
      <c r="C294" s="233" t="s">
        <v>518</v>
      </c>
      <c r="D294" s="239" t="s">
        <v>0</v>
      </c>
      <c r="E294" s="235">
        <v>1</v>
      </c>
      <c r="F294" s="236" t="s">
        <v>156</v>
      </c>
      <c r="G294" s="236">
        <v>7.07</v>
      </c>
      <c r="H294" s="237"/>
      <c r="I294" s="242">
        <v>1</v>
      </c>
      <c r="J294" s="237"/>
      <c r="K294" s="237">
        <f>IF(E294="","",PRODUCT(E294:I294))</f>
        <v>7.07</v>
      </c>
      <c r="L294" s="111"/>
      <c r="M294" s="111"/>
      <c r="N294" s="111"/>
      <c r="O294" s="111"/>
    </row>
    <row r="295" spans="2:15" x14ac:dyDescent="0.3">
      <c r="B295" s="114"/>
      <c r="C295" s="233" t="s">
        <v>1009</v>
      </c>
      <c r="D295" s="239" t="s">
        <v>0</v>
      </c>
      <c r="E295" s="235">
        <v>1</v>
      </c>
      <c r="F295" s="236" t="s">
        <v>156</v>
      </c>
      <c r="G295" s="236">
        <v>15.98</v>
      </c>
      <c r="H295" s="237"/>
      <c r="I295" s="242">
        <v>1</v>
      </c>
      <c r="J295" s="237"/>
      <c r="K295" s="237">
        <f>IF(E295="","",PRODUCT(E295:I295))</f>
        <v>15.98</v>
      </c>
      <c r="L295" s="111"/>
      <c r="M295" s="111"/>
      <c r="N295" s="111"/>
      <c r="O295" s="111"/>
    </row>
    <row r="296" spans="2:15" x14ac:dyDescent="0.3">
      <c r="B296" s="114"/>
      <c r="C296" s="233"/>
      <c r="D296" s="239" t="s">
        <v>0</v>
      </c>
      <c r="E296" s="235">
        <v>1</v>
      </c>
      <c r="F296" s="236" t="s">
        <v>156</v>
      </c>
      <c r="G296" s="236">
        <v>21.46</v>
      </c>
      <c r="H296" s="237"/>
      <c r="I296" s="242">
        <v>1</v>
      </c>
      <c r="J296" s="237"/>
      <c r="K296" s="237">
        <f>IF(E296="","",PRODUCT(E296:I296))</f>
        <v>21.46</v>
      </c>
      <c r="L296" s="111"/>
      <c r="M296" s="111"/>
      <c r="N296" s="111"/>
      <c r="O296" s="111"/>
    </row>
    <row r="297" spans="2:15" x14ac:dyDescent="0.3">
      <c r="B297" s="114"/>
      <c r="C297" s="233"/>
      <c r="D297" s="239" t="s">
        <v>0</v>
      </c>
      <c r="E297" s="235">
        <v>1</v>
      </c>
      <c r="F297" s="236" t="s">
        <v>156</v>
      </c>
      <c r="G297" s="236">
        <v>9.89</v>
      </c>
      <c r="H297" s="237"/>
      <c r="I297" s="242">
        <v>1</v>
      </c>
      <c r="J297" s="237"/>
      <c r="K297" s="237">
        <f>IF(E297="","",PRODUCT(E297:I297))</f>
        <v>9.89</v>
      </c>
      <c r="L297" s="111"/>
      <c r="M297" s="111"/>
      <c r="N297" s="111"/>
      <c r="O297" s="111"/>
    </row>
    <row r="298" spans="2:15" x14ac:dyDescent="0.3">
      <c r="B298" s="114"/>
      <c r="C298" s="227" t="s">
        <v>68</v>
      </c>
      <c r="D298" s="262"/>
      <c r="E298" s="229"/>
      <c r="F298" s="230"/>
      <c r="G298" s="230"/>
      <c r="H298" s="231"/>
      <c r="I298" s="277"/>
      <c r="J298" s="231"/>
      <c r="K298" s="231"/>
      <c r="L298" s="111"/>
      <c r="M298" s="111"/>
      <c r="N298" s="111"/>
      <c r="O298" s="111"/>
    </row>
    <row r="299" spans="2:15" x14ac:dyDescent="0.3">
      <c r="B299" s="114"/>
      <c r="C299" s="233" t="s">
        <v>518</v>
      </c>
      <c r="D299" s="239" t="s">
        <v>0</v>
      </c>
      <c r="E299" s="235">
        <v>1</v>
      </c>
      <c r="F299" s="236" t="s">
        <v>156</v>
      </c>
      <c r="G299" s="236">
        <v>7.07</v>
      </c>
      <c r="H299" s="237"/>
      <c r="I299" s="242">
        <v>1</v>
      </c>
      <c r="J299" s="237"/>
      <c r="K299" s="237">
        <f t="shared" ref="K299:K308" si="18">IF(E299="","",PRODUCT(E299:I299))</f>
        <v>7.07</v>
      </c>
      <c r="L299" s="111"/>
      <c r="M299" s="111"/>
      <c r="N299" s="111"/>
      <c r="O299" s="111"/>
    </row>
    <row r="300" spans="2:15" x14ac:dyDescent="0.3">
      <c r="B300" s="114"/>
      <c r="C300" s="233"/>
      <c r="D300" s="239" t="s">
        <v>0</v>
      </c>
      <c r="E300" s="235">
        <v>1</v>
      </c>
      <c r="F300" s="236" t="s">
        <v>156</v>
      </c>
      <c r="G300" s="236">
        <v>9.89</v>
      </c>
      <c r="H300" s="237"/>
      <c r="I300" s="242">
        <v>1</v>
      </c>
      <c r="J300" s="237"/>
      <c r="K300" s="237">
        <f t="shared" si="18"/>
        <v>9.89</v>
      </c>
      <c r="L300" s="111"/>
      <c r="M300" s="111"/>
      <c r="N300" s="111"/>
      <c r="O300" s="111"/>
    </row>
    <row r="301" spans="2:15" x14ac:dyDescent="0.3">
      <c r="B301" s="114"/>
      <c r="C301" s="233"/>
      <c r="D301" s="239" t="s">
        <v>0</v>
      </c>
      <c r="E301" s="235">
        <v>1</v>
      </c>
      <c r="F301" s="236" t="s">
        <v>156</v>
      </c>
      <c r="G301" s="236">
        <v>3.24</v>
      </c>
      <c r="H301" s="237"/>
      <c r="I301" s="242">
        <v>1</v>
      </c>
      <c r="J301" s="237"/>
      <c r="K301" s="237">
        <f t="shared" si="18"/>
        <v>3.24</v>
      </c>
      <c r="L301" s="111"/>
      <c r="M301" s="111"/>
      <c r="N301" s="111"/>
      <c r="O301" s="111"/>
    </row>
    <row r="302" spans="2:15" x14ac:dyDescent="0.3">
      <c r="B302" s="114"/>
      <c r="C302" s="233" t="s">
        <v>1010</v>
      </c>
      <c r="D302" s="239" t="s">
        <v>0</v>
      </c>
      <c r="E302" s="235">
        <v>1</v>
      </c>
      <c r="F302" s="236" t="s">
        <v>156</v>
      </c>
      <c r="G302" s="236">
        <v>7.02</v>
      </c>
      <c r="H302" s="237"/>
      <c r="I302" s="242">
        <v>1</v>
      </c>
      <c r="J302" s="237"/>
      <c r="K302" s="237">
        <f t="shared" si="18"/>
        <v>7.02</v>
      </c>
      <c r="L302" s="111"/>
      <c r="M302" s="111"/>
      <c r="N302" s="111"/>
      <c r="O302" s="111"/>
    </row>
    <row r="303" spans="2:15" x14ac:dyDescent="0.3">
      <c r="B303" s="114"/>
      <c r="C303" s="233"/>
      <c r="D303" s="239" t="s">
        <v>0</v>
      </c>
      <c r="E303" s="235">
        <v>1</v>
      </c>
      <c r="F303" s="236" t="s">
        <v>156</v>
      </c>
      <c r="G303" s="236">
        <v>2.15</v>
      </c>
      <c r="H303" s="237"/>
      <c r="I303" s="242">
        <v>1</v>
      </c>
      <c r="J303" s="237"/>
      <c r="K303" s="237">
        <f t="shared" si="18"/>
        <v>2.15</v>
      </c>
      <c r="L303" s="111"/>
      <c r="M303" s="111"/>
      <c r="N303" s="111"/>
      <c r="O303" s="111"/>
    </row>
    <row r="304" spans="2:15" x14ac:dyDescent="0.3">
      <c r="B304" s="106"/>
      <c r="C304" s="233" t="s">
        <v>1011</v>
      </c>
      <c r="D304" s="239" t="s">
        <v>0</v>
      </c>
      <c r="E304" s="235">
        <v>1</v>
      </c>
      <c r="F304" s="236" t="s">
        <v>156</v>
      </c>
      <c r="G304" s="236">
        <v>2.13</v>
      </c>
      <c r="H304" s="237"/>
      <c r="I304" s="242">
        <v>1</v>
      </c>
      <c r="J304" s="237"/>
      <c r="K304" s="237">
        <f t="shared" si="18"/>
        <v>2.13</v>
      </c>
      <c r="L304" s="113"/>
      <c r="M304" s="113"/>
      <c r="N304" s="113"/>
      <c r="O304" s="113"/>
    </row>
    <row r="305" spans="2:15" x14ac:dyDescent="0.3">
      <c r="B305" s="114"/>
      <c r="C305" s="233" t="s">
        <v>195</v>
      </c>
      <c r="D305" s="239" t="s">
        <v>0</v>
      </c>
      <c r="E305" s="235">
        <v>1</v>
      </c>
      <c r="F305" s="236" t="s">
        <v>156</v>
      </c>
      <c r="G305" s="236">
        <v>1.53</v>
      </c>
      <c r="H305" s="237"/>
      <c r="I305" s="242">
        <v>1</v>
      </c>
      <c r="J305" s="237"/>
      <c r="K305" s="237">
        <f t="shared" si="18"/>
        <v>1.53</v>
      </c>
      <c r="L305" s="111"/>
      <c r="M305" s="111"/>
      <c r="N305" s="111"/>
      <c r="O305" s="111"/>
    </row>
    <row r="306" spans="2:15" x14ac:dyDescent="0.3">
      <c r="B306" s="114"/>
      <c r="C306" s="233" t="s">
        <v>968</v>
      </c>
      <c r="D306" s="239" t="s">
        <v>0</v>
      </c>
      <c r="E306" s="235">
        <v>1</v>
      </c>
      <c r="F306" s="236" t="s">
        <v>156</v>
      </c>
      <c r="G306" s="236">
        <v>1.03</v>
      </c>
      <c r="H306" s="237"/>
      <c r="I306" s="242">
        <v>1</v>
      </c>
      <c r="J306" s="237"/>
      <c r="K306" s="237">
        <f t="shared" si="18"/>
        <v>1.03</v>
      </c>
      <c r="L306" s="111"/>
      <c r="M306" s="111"/>
      <c r="N306" s="111"/>
      <c r="O306" s="111"/>
    </row>
    <row r="307" spans="2:15" x14ac:dyDescent="0.3">
      <c r="B307" s="114"/>
      <c r="C307" s="233" t="s">
        <v>684</v>
      </c>
      <c r="D307" s="239" t="s">
        <v>0</v>
      </c>
      <c r="E307" s="235">
        <v>1</v>
      </c>
      <c r="F307" s="236" t="s">
        <v>156</v>
      </c>
      <c r="G307" s="236">
        <v>8.6999999999999993</v>
      </c>
      <c r="H307" s="237"/>
      <c r="I307" s="242">
        <v>1</v>
      </c>
      <c r="J307" s="237"/>
      <c r="K307" s="237">
        <f t="shared" si="18"/>
        <v>8.6999999999999993</v>
      </c>
      <c r="L307" s="111"/>
      <c r="M307" s="111"/>
      <c r="N307" s="111"/>
      <c r="O307" s="111"/>
    </row>
    <row r="308" spans="2:15" x14ac:dyDescent="0.3">
      <c r="B308" s="106"/>
      <c r="C308" s="233" t="s">
        <v>683</v>
      </c>
      <c r="D308" s="239" t="s">
        <v>0</v>
      </c>
      <c r="E308" s="235">
        <v>1</v>
      </c>
      <c r="F308" s="236" t="s">
        <v>156</v>
      </c>
      <c r="G308" s="236">
        <v>20.66</v>
      </c>
      <c r="H308" s="237"/>
      <c r="I308" s="242">
        <v>1</v>
      </c>
      <c r="J308" s="237"/>
      <c r="K308" s="237">
        <f t="shared" si="18"/>
        <v>20.66</v>
      </c>
      <c r="L308" s="113"/>
      <c r="M308" s="113"/>
      <c r="N308" s="113"/>
      <c r="O308" s="113"/>
    </row>
    <row r="309" spans="2:15" x14ac:dyDescent="0.3">
      <c r="B309" s="114"/>
      <c r="C309" s="227" t="s">
        <v>106</v>
      </c>
      <c r="D309" s="262"/>
      <c r="E309" s="229"/>
      <c r="F309" s="230"/>
      <c r="G309" s="230"/>
      <c r="H309" s="231"/>
      <c r="I309" s="277"/>
      <c r="J309" s="231"/>
      <c r="K309" s="231"/>
      <c r="L309" s="111"/>
      <c r="M309" s="111"/>
      <c r="N309" s="111"/>
      <c r="O309" s="111"/>
    </row>
    <row r="310" spans="2:15" x14ac:dyDescent="0.3">
      <c r="B310" s="114"/>
      <c r="C310" s="233" t="s">
        <v>518</v>
      </c>
      <c r="D310" s="239" t="s">
        <v>0</v>
      </c>
      <c r="E310" s="235">
        <v>1</v>
      </c>
      <c r="F310" s="236" t="s">
        <v>156</v>
      </c>
      <c r="G310" s="236">
        <v>7.07</v>
      </c>
      <c r="H310" s="237"/>
      <c r="I310" s="242">
        <v>1</v>
      </c>
      <c r="J310" s="237"/>
      <c r="K310" s="237">
        <f t="shared" ref="K310:K316" si="19">IF(E310="","",PRODUCT(E310:I310))</f>
        <v>7.07</v>
      </c>
      <c r="L310" s="111"/>
      <c r="M310" s="111"/>
      <c r="N310" s="111"/>
      <c r="O310" s="111"/>
    </row>
    <row r="311" spans="2:15" x14ac:dyDescent="0.3">
      <c r="B311" s="114"/>
      <c r="C311" s="233"/>
      <c r="D311" s="239" t="s">
        <v>0</v>
      </c>
      <c r="E311" s="235">
        <v>1</v>
      </c>
      <c r="F311" s="236" t="s">
        <v>156</v>
      </c>
      <c r="G311" s="236">
        <v>9.89</v>
      </c>
      <c r="H311" s="237"/>
      <c r="I311" s="242">
        <v>1</v>
      </c>
      <c r="J311" s="237"/>
      <c r="K311" s="237">
        <f t="shared" si="19"/>
        <v>9.89</v>
      </c>
      <c r="L311" s="111"/>
      <c r="M311" s="111"/>
      <c r="N311" s="111"/>
      <c r="O311" s="111"/>
    </row>
    <row r="312" spans="2:15" x14ac:dyDescent="0.3">
      <c r="B312" s="114"/>
      <c r="C312" s="233"/>
      <c r="D312" s="239" t="s">
        <v>0</v>
      </c>
      <c r="E312" s="235">
        <v>1</v>
      </c>
      <c r="F312" s="236" t="s">
        <v>156</v>
      </c>
      <c r="G312" s="236">
        <v>3.24</v>
      </c>
      <c r="H312" s="237"/>
      <c r="I312" s="242">
        <v>1</v>
      </c>
      <c r="J312" s="237"/>
      <c r="K312" s="237">
        <f t="shared" si="19"/>
        <v>3.24</v>
      </c>
      <c r="L312" s="111"/>
      <c r="M312" s="111"/>
      <c r="N312" s="111"/>
      <c r="O312" s="111"/>
    </row>
    <row r="313" spans="2:15" x14ac:dyDescent="0.3">
      <c r="B313" s="114"/>
      <c r="C313" s="233" t="s">
        <v>1012</v>
      </c>
      <c r="D313" s="239" t="s">
        <v>0</v>
      </c>
      <c r="E313" s="235">
        <v>1</v>
      </c>
      <c r="F313" s="236" t="s">
        <v>156</v>
      </c>
      <c r="G313" s="236">
        <v>22.63</v>
      </c>
      <c r="H313" s="237"/>
      <c r="I313" s="242">
        <v>1</v>
      </c>
      <c r="J313" s="237"/>
      <c r="K313" s="237">
        <f t="shared" si="19"/>
        <v>22.63</v>
      </c>
      <c r="L313" s="111"/>
      <c r="M313" s="111"/>
      <c r="N313" s="111"/>
      <c r="O313" s="111"/>
    </row>
    <row r="314" spans="2:15" x14ac:dyDescent="0.3">
      <c r="B314" s="114"/>
      <c r="C314" s="233"/>
      <c r="D314" s="239" t="s">
        <v>0</v>
      </c>
      <c r="E314" s="235">
        <v>1</v>
      </c>
      <c r="F314" s="236" t="s">
        <v>156</v>
      </c>
      <c r="G314" s="236">
        <v>4.1399999999999997</v>
      </c>
      <c r="H314" s="237"/>
      <c r="I314" s="242">
        <v>1</v>
      </c>
      <c r="J314" s="237"/>
      <c r="K314" s="237">
        <f t="shared" si="19"/>
        <v>4.1399999999999997</v>
      </c>
      <c r="L314" s="111"/>
      <c r="M314" s="111"/>
      <c r="N314" s="111"/>
      <c r="O314" s="111"/>
    </row>
    <row r="315" spans="2:15" x14ac:dyDescent="0.3">
      <c r="B315" s="114"/>
      <c r="C315" s="233" t="s">
        <v>1013</v>
      </c>
      <c r="D315" s="239" t="s">
        <v>0</v>
      </c>
      <c r="E315" s="235">
        <v>1</v>
      </c>
      <c r="F315" s="236" t="s">
        <v>156</v>
      </c>
      <c r="G315" s="236">
        <v>14.87</v>
      </c>
      <c r="H315" s="237"/>
      <c r="I315" s="242">
        <v>1</v>
      </c>
      <c r="J315" s="237"/>
      <c r="K315" s="237">
        <f t="shared" si="19"/>
        <v>14.87</v>
      </c>
      <c r="L315" s="111"/>
      <c r="M315" s="111"/>
      <c r="N315" s="111"/>
      <c r="O315" s="111"/>
    </row>
    <row r="316" spans="2:15" x14ac:dyDescent="0.3">
      <c r="B316" s="114"/>
      <c r="C316" s="233" t="s">
        <v>195</v>
      </c>
      <c r="D316" s="239" t="s">
        <v>0</v>
      </c>
      <c r="E316" s="235">
        <v>1</v>
      </c>
      <c r="F316" s="236" t="s">
        <v>156</v>
      </c>
      <c r="G316" s="236">
        <v>2.83</v>
      </c>
      <c r="H316" s="237"/>
      <c r="I316" s="242">
        <v>1</v>
      </c>
      <c r="J316" s="237"/>
      <c r="K316" s="237">
        <f t="shared" si="19"/>
        <v>2.83</v>
      </c>
      <c r="L316" s="111"/>
      <c r="M316" s="111"/>
      <c r="N316" s="111"/>
      <c r="O316" s="111"/>
    </row>
    <row r="317" spans="2:15" x14ac:dyDescent="0.3">
      <c r="B317" s="114"/>
      <c r="C317" s="227" t="s">
        <v>51</v>
      </c>
      <c r="D317" s="262"/>
      <c r="E317" s="229"/>
      <c r="F317" s="230"/>
      <c r="G317" s="230"/>
      <c r="H317" s="231"/>
      <c r="I317" s="277"/>
      <c r="J317" s="231"/>
      <c r="K317" s="231"/>
      <c r="L317" s="111"/>
      <c r="M317" s="111"/>
      <c r="N317" s="111"/>
      <c r="O317" s="111"/>
    </row>
    <row r="318" spans="2:15" x14ac:dyDescent="0.3">
      <c r="B318" s="114"/>
      <c r="C318" s="233" t="s">
        <v>1014</v>
      </c>
      <c r="D318" s="239" t="s">
        <v>0</v>
      </c>
      <c r="E318" s="235">
        <v>1</v>
      </c>
      <c r="F318" s="236" t="s">
        <v>156</v>
      </c>
      <c r="G318" s="236">
        <v>10.64</v>
      </c>
      <c r="H318" s="237"/>
      <c r="I318" s="242">
        <v>1</v>
      </c>
      <c r="J318" s="237"/>
      <c r="K318" s="237">
        <f>IF(E318="","",PRODUCT(E318:I318))</f>
        <v>10.64</v>
      </c>
      <c r="L318" s="111"/>
      <c r="M318" s="111"/>
      <c r="N318" s="111"/>
      <c r="O318" s="111"/>
    </row>
    <row r="319" spans="2:15" x14ac:dyDescent="0.3">
      <c r="B319" s="114"/>
      <c r="C319" s="233" t="s">
        <v>1015</v>
      </c>
      <c r="D319" s="239" t="s">
        <v>0</v>
      </c>
      <c r="E319" s="235">
        <v>1</v>
      </c>
      <c r="F319" s="236" t="s">
        <v>156</v>
      </c>
      <c r="G319" s="236">
        <v>5.7</v>
      </c>
      <c r="H319" s="237"/>
      <c r="I319" s="242">
        <v>1</v>
      </c>
      <c r="J319" s="237"/>
      <c r="K319" s="237">
        <f>IF(E319="","",PRODUCT(E319:I319))</f>
        <v>5.7</v>
      </c>
      <c r="L319" s="111"/>
      <c r="M319" s="111"/>
      <c r="N319" s="111"/>
      <c r="O319" s="111"/>
    </row>
    <row r="320" spans="2:15" x14ac:dyDescent="0.3">
      <c r="B320" s="114"/>
      <c r="C320" s="233"/>
      <c r="D320" s="239" t="s">
        <v>0</v>
      </c>
      <c r="E320" s="235">
        <v>1</v>
      </c>
      <c r="F320" s="236" t="s">
        <v>156</v>
      </c>
      <c r="G320" s="236">
        <v>1.04</v>
      </c>
      <c r="H320" s="237"/>
      <c r="I320" s="242">
        <v>1</v>
      </c>
      <c r="J320" s="237"/>
      <c r="K320" s="237">
        <f>IF(E320="","",PRODUCT(E320:I320))</f>
        <v>1.04</v>
      </c>
      <c r="L320" s="111"/>
      <c r="M320" s="111"/>
      <c r="N320" s="111"/>
      <c r="O320" s="111"/>
    </row>
    <row r="321" spans="2:15" x14ac:dyDescent="0.3">
      <c r="B321" s="114"/>
      <c r="C321" s="233" t="s">
        <v>771</v>
      </c>
      <c r="D321" s="234" t="s">
        <v>0</v>
      </c>
      <c r="E321" s="235">
        <v>1</v>
      </c>
      <c r="F321" s="236">
        <f>0.15</f>
        <v>0.15</v>
      </c>
      <c r="G321" s="236"/>
      <c r="H321" s="236">
        <v>3.88</v>
      </c>
      <c r="I321" s="235">
        <v>1</v>
      </c>
      <c r="J321" s="237"/>
      <c r="K321" s="237">
        <f t="shared" ref="K321:K322" si="20">IF(E321="","",PRODUCT(E321:I321))</f>
        <v>0.58199999999999996</v>
      </c>
      <c r="L321" s="111"/>
      <c r="M321" s="111"/>
      <c r="N321" s="111"/>
      <c r="O321" s="111"/>
    </row>
    <row r="322" spans="2:15" x14ac:dyDescent="0.3">
      <c r="B322" s="114"/>
      <c r="C322" s="233" t="s">
        <v>772</v>
      </c>
      <c r="D322" s="234" t="s">
        <v>0</v>
      </c>
      <c r="E322" s="235">
        <v>1</v>
      </c>
      <c r="F322" s="236">
        <f>1.3+1.2</f>
        <v>2.5</v>
      </c>
      <c r="G322" s="236"/>
      <c r="H322" s="236">
        <v>2.88</v>
      </c>
      <c r="I322" s="235">
        <v>1</v>
      </c>
      <c r="J322" s="237"/>
      <c r="K322" s="237">
        <f t="shared" si="20"/>
        <v>7.1999999999999993</v>
      </c>
      <c r="L322" s="111"/>
      <c r="M322" s="111"/>
      <c r="N322" s="111"/>
      <c r="O322" s="111"/>
    </row>
    <row r="323" spans="2:15" x14ac:dyDescent="0.3">
      <c r="B323" s="114"/>
      <c r="C323" s="115" t="s">
        <v>773</v>
      </c>
      <c r="D323" s="121"/>
      <c r="E323" s="3"/>
      <c r="F323" s="122" t="s">
        <v>198</v>
      </c>
      <c r="G323" s="110"/>
      <c r="H323" s="110"/>
      <c r="I323" s="109"/>
      <c r="J323" s="111"/>
      <c r="K323" s="111"/>
      <c r="L323" s="111"/>
      <c r="M323" s="111"/>
      <c r="N323" s="111"/>
      <c r="O323" s="111"/>
    </row>
    <row r="324" spans="2:15" x14ac:dyDescent="0.3">
      <c r="B324" s="114"/>
      <c r="C324" s="233" t="s">
        <v>743</v>
      </c>
      <c r="D324" s="234" t="s">
        <v>0</v>
      </c>
      <c r="E324" s="235">
        <v>1</v>
      </c>
      <c r="F324" s="236">
        <f>0.25+0.15</f>
        <v>0.4</v>
      </c>
      <c r="G324" s="236"/>
      <c r="H324" s="236">
        <v>2.88</v>
      </c>
      <c r="I324" s="235">
        <v>1</v>
      </c>
      <c r="J324" s="237"/>
      <c r="K324" s="237">
        <f>IF(E324="","",PRODUCT(E324:I324))</f>
        <v>1.1519999999999999</v>
      </c>
      <c r="L324" s="111"/>
      <c r="M324" s="111"/>
      <c r="N324" s="111"/>
      <c r="O324" s="111"/>
    </row>
    <row r="325" spans="2:15" x14ac:dyDescent="0.3">
      <c r="B325" s="114"/>
      <c r="C325" s="233" t="s">
        <v>744</v>
      </c>
      <c r="D325" s="234" t="s">
        <v>0</v>
      </c>
      <c r="E325" s="235">
        <v>1</v>
      </c>
      <c r="F325" s="236">
        <f>1.2+1.3+1.2</f>
        <v>3.7</v>
      </c>
      <c r="G325" s="236"/>
      <c r="H325" s="236">
        <v>2.88</v>
      </c>
      <c r="I325" s="235">
        <v>1</v>
      </c>
      <c r="J325" s="237"/>
      <c r="K325" s="237">
        <f>IF(E325="","",PRODUCT(E325:I325))</f>
        <v>10.656000000000001</v>
      </c>
      <c r="L325" s="111"/>
      <c r="M325" s="111"/>
      <c r="N325" s="111"/>
      <c r="O325" s="111"/>
    </row>
    <row r="326" spans="2:15" x14ac:dyDescent="0.3">
      <c r="B326" s="114"/>
      <c r="C326" s="233" t="s">
        <v>745</v>
      </c>
      <c r="D326" s="234" t="s">
        <v>0</v>
      </c>
      <c r="E326" s="235">
        <v>1</v>
      </c>
      <c r="F326" s="236">
        <f>0.25+0.25+0.25+0.1</f>
        <v>0.85</v>
      </c>
      <c r="G326" s="236"/>
      <c r="H326" s="236">
        <v>2.88</v>
      </c>
      <c r="I326" s="235">
        <v>1</v>
      </c>
      <c r="J326" s="237"/>
      <c r="K326" s="237">
        <f t="shared" ref="K326:K333" si="21">IF(E326="","",PRODUCT(E326:I326))</f>
        <v>2.448</v>
      </c>
      <c r="L326" s="111"/>
      <c r="M326" s="111"/>
      <c r="N326" s="111"/>
      <c r="O326" s="111"/>
    </row>
    <row r="327" spans="2:15" x14ac:dyDescent="0.3">
      <c r="B327" s="114"/>
      <c r="C327" s="233" t="s">
        <v>746</v>
      </c>
      <c r="D327" s="234" t="s">
        <v>0</v>
      </c>
      <c r="E327" s="235">
        <v>1</v>
      </c>
      <c r="F327" s="236">
        <f>0.15+0.25+0.25+0.25</f>
        <v>0.9</v>
      </c>
      <c r="G327" s="236"/>
      <c r="H327" s="236">
        <v>2.88</v>
      </c>
      <c r="I327" s="235">
        <v>1</v>
      </c>
      <c r="J327" s="237"/>
      <c r="K327" s="237">
        <f t="shared" si="21"/>
        <v>2.5920000000000001</v>
      </c>
      <c r="L327" s="111"/>
      <c r="M327" s="111"/>
      <c r="N327" s="111"/>
      <c r="O327" s="111"/>
    </row>
    <row r="328" spans="2:15" x14ac:dyDescent="0.3">
      <c r="B328" s="114"/>
      <c r="C328" s="233" t="s">
        <v>747</v>
      </c>
      <c r="D328" s="234" t="s">
        <v>0</v>
      </c>
      <c r="E328" s="235">
        <v>1</v>
      </c>
      <c r="F328" s="236">
        <v>1.2</v>
      </c>
      <c r="G328" s="236"/>
      <c r="H328" s="236">
        <v>2.88</v>
      </c>
      <c r="I328" s="235">
        <v>1</v>
      </c>
      <c r="J328" s="237"/>
      <c r="K328" s="237">
        <f t="shared" si="21"/>
        <v>3.456</v>
      </c>
      <c r="L328" s="111"/>
      <c r="M328" s="111"/>
      <c r="N328" s="111"/>
      <c r="O328" s="111"/>
    </row>
    <row r="329" spans="2:15" x14ac:dyDescent="0.3">
      <c r="B329" s="114"/>
      <c r="C329" s="233"/>
      <c r="D329" s="234" t="s">
        <v>0</v>
      </c>
      <c r="E329" s="235">
        <v>1</v>
      </c>
      <c r="F329" s="236">
        <v>1.3</v>
      </c>
      <c r="G329" s="236"/>
      <c r="H329" s="236">
        <v>2.88</v>
      </c>
      <c r="I329" s="235">
        <v>1</v>
      </c>
      <c r="J329" s="237"/>
      <c r="K329" s="237">
        <f t="shared" si="21"/>
        <v>3.7439999999999998</v>
      </c>
      <c r="L329" s="111"/>
      <c r="M329" s="111"/>
      <c r="N329" s="111"/>
      <c r="O329" s="111"/>
    </row>
    <row r="330" spans="2:15" x14ac:dyDescent="0.3">
      <c r="B330" s="114"/>
      <c r="C330" s="233" t="s">
        <v>748</v>
      </c>
      <c r="D330" s="234" t="s">
        <v>0</v>
      </c>
      <c r="E330" s="235">
        <v>1</v>
      </c>
      <c r="F330" s="236">
        <f>0.25+0.25+0.25+0.25</f>
        <v>1</v>
      </c>
      <c r="G330" s="236"/>
      <c r="H330" s="236">
        <v>2.88</v>
      </c>
      <c r="I330" s="235">
        <v>1</v>
      </c>
      <c r="J330" s="237"/>
      <c r="K330" s="237">
        <f t="shared" si="21"/>
        <v>2.88</v>
      </c>
      <c r="L330" s="111"/>
      <c r="M330" s="111"/>
      <c r="N330" s="111"/>
      <c r="O330" s="111"/>
    </row>
    <row r="331" spans="2:15" x14ac:dyDescent="0.3">
      <c r="B331" s="114"/>
      <c r="C331" s="233" t="s">
        <v>749</v>
      </c>
      <c r="D331" s="234" t="s">
        <v>0</v>
      </c>
      <c r="E331" s="235">
        <v>1</v>
      </c>
      <c r="F331" s="236">
        <f>0.25+0.1+0.15+0.1</f>
        <v>0.6</v>
      </c>
      <c r="G331" s="236"/>
      <c r="H331" s="236">
        <v>2.88</v>
      </c>
      <c r="I331" s="235">
        <v>1</v>
      </c>
      <c r="J331" s="237"/>
      <c r="K331" s="237">
        <f t="shared" si="21"/>
        <v>1.728</v>
      </c>
      <c r="L331" s="111"/>
      <c r="M331" s="111"/>
      <c r="N331" s="111"/>
      <c r="O331" s="111"/>
    </row>
    <row r="332" spans="2:15" x14ac:dyDescent="0.3">
      <c r="B332" s="114"/>
      <c r="C332" s="233" t="s">
        <v>750</v>
      </c>
      <c r="D332" s="234" t="s">
        <v>0</v>
      </c>
      <c r="E332" s="235">
        <v>1</v>
      </c>
      <c r="F332" s="236">
        <f>1.2+1.2+0.25</f>
        <v>2.65</v>
      </c>
      <c r="G332" s="236"/>
      <c r="H332" s="236">
        <v>2.88</v>
      </c>
      <c r="I332" s="235">
        <v>1</v>
      </c>
      <c r="J332" s="237"/>
      <c r="K332" s="237">
        <f t="shared" si="21"/>
        <v>7.6319999999999997</v>
      </c>
      <c r="L332" s="111"/>
      <c r="M332" s="111"/>
      <c r="N332" s="111"/>
      <c r="O332" s="111"/>
    </row>
    <row r="333" spans="2:15" x14ac:dyDescent="0.3">
      <c r="B333" s="114"/>
      <c r="C333" s="233" t="s">
        <v>751</v>
      </c>
      <c r="D333" s="234" t="s">
        <v>0</v>
      </c>
      <c r="E333" s="235">
        <v>1</v>
      </c>
      <c r="F333" s="236">
        <f>0.15+0.25+0.3</f>
        <v>0.7</v>
      </c>
      <c r="G333" s="236"/>
      <c r="H333" s="236">
        <v>2.88</v>
      </c>
      <c r="I333" s="235">
        <v>1</v>
      </c>
      <c r="J333" s="237"/>
      <c r="K333" s="237">
        <f t="shared" si="21"/>
        <v>2.016</v>
      </c>
      <c r="L333" s="111"/>
      <c r="M333" s="111"/>
      <c r="N333" s="111"/>
      <c r="O333" s="111"/>
    </row>
    <row r="334" spans="2:15" x14ac:dyDescent="0.3">
      <c r="B334" s="114"/>
      <c r="C334" s="233" t="s">
        <v>752</v>
      </c>
      <c r="D334" s="234" t="s">
        <v>0</v>
      </c>
      <c r="E334" s="235">
        <v>1</v>
      </c>
      <c r="F334" s="236">
        <f>0.05+0.4+0.05+0.05+0.4+0.05</f>
        <v>1</v>
      </c>
      <c r="G334" s="236"/>
      <c r="H334" s="236">
        <v>2.88</v>
      </c>
      <c r="I334" s="235">
        <v>1</v>
      </c>
      <c r="J334" s="237"/>
      <c r="K334" s="237">
        <f>IF(E334="","",PRODUCT(E334:I334))</f>
        <v>2.88</v>
      </c>
      <c r="L334" s="111"/>
      <c r="M334" s="111"/>
      <c r="N334" s="111"/>
      <c r="O334" s="111"/>
    </row>
    <row r="335" spans="2:15" x14ac:dyDescent="0.3">
      <c r="B335" s="114"/>
      <c r="C335" s="233" t="s">
        <v>753</v>
      </c>
      <c r="D335" s="234" t="s">
        <v>0</v>
      </c>
      <c r="E335" s="235">
        <v>1</v>
      </c>
      <c r="F335" s="236">
        <f>0.15+0.05+0.05+0.3</f>
        <v>0.55000000000000004</v>
      </c>
      <c r="G335" s="236"/>
      <c r="H335" s="236">
        <v>2.88</v>
      </c>
      <c r="I335" s="235">
        <v>1</v>
      </c>
      <c r="J335" s="237"/>
      <c r="K335" s="237">
        <f t="shared" ref="K335" si="22">IF(E335="","",PRODUCT(E335:I335))</f>
        <v>1.5840000000000001</v>
      </c>
      <c r="L335" s="111"/>
      <c r="M335" s="111"/>
      <c r="N335" s="111"/>
      <c r="O335" s="111"/>
    </row>
    <row r="336" spans="2:15" x14ac:dyDescent="0.3">
      <c r="B336" s="114"/>
      <c r="C336" s="233" t="s">
        <v>754</v>
      </c>
      <c r="D336" s="234" t="s">
        <v>0</v>
      </c>
      <c r="E336" s="235">
        <v>1</v>
      </c>
      <c r="F336" s="236">
        <f>0.1+0.15</f>
        <v>0.25</v>
      </c>
      <c r="G336" s="236"/>
      <c r="H336" s="236">
        <v>2.88</v>
      </c>
      <c r="I336" s="235">
        <v>1</v>
      </c>
      <c r="J336" s="237"/>
      <c r="K336" s="237">
        <f>IF(E336="","",PRODUCT(E336:I336))</f>
        <v>0.72</v>
      </c>
      <c r="L336" s="111"/>
      <c r="M336" s="111"/>
      <c r="N336" s="111"/>
      <c r="O336" s="111"/>
    </row>
    <row r="337" spans="2:15" x14ac:dyDescent="0.3">
      <c r="B337" s="114"/>
      <c r="C337" s="233" t="s">
        <v>755</v>
      </c>
      <c r="D337" s="234" t="s">
        <v>0</v>
      </c>
      <c r="E337" s="235">
        <v>1</v>
      </c>
      <c r="F337" s="236">
        <f>0.1+0.15</f>
        <v>0.25</v>
      </c>
      <c r="G337" s="236"/>
      <c r="H337" s="236">
        <v>2.88</v>
      </c>
      <c r="I337" s="235">
        <v>1</v>
      </c>
      <c r="J337" s="237"/>
      <c r="K337" s="237">
        <f>IF(E337="","",PRODUCT(E337:I337))</f>
        <v>0.72</v>
      </c>
      <c r="L337" s="111"/>
      <c r="M337" s="111"/>
      <c r="N337" s="111"/>
      <c r="O337" s="111"/>
    </row>
    <row r="338" spans="2:15" x14ac:dyDescent="0.3">
      <c r="B338" s="114"/>
      <c r="C338" s="233" t="s">
        <v>756</v>
      </c>
      <c r="D338" s="234" t="s">
        <v>0</v>
      </c>
      <c r="E338" s="235">
        <v>1</v>
      </c>
      <c r="F338" s="236">
        <f>1.2+0.25+1.2+1.2+0.1</f>
        <v>3.9499999999999997</v>
      </c>
      <c r="G338" s="236"/>
      <c r="H338" s="236">
        <v>2.88</v>
      </c>
      <c r="I338" s="235">
        <v>1</v>
      </c>
      <c r="J338" s="237"/>
      <c r="K338" s="237">
        <f t="shared" ref="K338:K343" si="23">IF(E338="","",PRODUCT(E338:I338))</f>
        <v>11.375999999999999</v>
      </c>
      <c r="L338" s="111"/>
      <c r="M338" s="111"/>
      <c r="N338" s="111"/>
      <c r="O338" s="111"/>
    </row>
    <row r="339" spans="2:15" x14ac:dyDescent="0.3">
      <c r="B339" s="114"/>
      <c r="C339" s="233" t="s">
        <v>757</v>
      </c>
      <c r="D339" s="234" t="s">
        <v>0</v>
      </c>
      <c r="E339" s="235">
        <v>1</v>
      </c>
      <c r="F339" s="236">
        <f>0.4</f>
        <v>0.4</v>
      </c>
      <c r="G339" s="236"/>
      <c r="H339" s="236">
        <v>3.16</v>
      </c>
      <c r="I339" s="235">
        <v>1</v>
      </c>
      <c r="J339" s="237"/>
      <c r="K339" s="237">
        <f t="shared" si="23"/>
        <v>1.2640000000000002</v>
      </c>
      <c r="L339" s="111"/>
      <c r="M339" s="111"/>
      <c r="N339" s="111"/>
      <c r="O339" s="111"/>
    </row>
    <row r="340" spans="2:15" x14ac:dyDescent="0.3">
      <c r="B340" s="114"/>
      <c r="C340" s="233" t="s">
        <v>758</v>
      </c>
      <c r="D340" s="234" t="s">
        <v>0</v>
      </c>
      <c r="E340" s="235">
        <v>1</v>
      </c>
      <c r="F340" s="236">
        <f>0.25+0.4</f>
        <v>0.65</v>
      </c>
      <c r="G340" s="236"/>
      <c r="H340" s="236">
        <v>2.88</v>
      </c>
      <c r="I340" s="235">
        <v>1</v>
      </c>
      <c r="J340" s="237"/>
      <c r="K340" s="237">
        <f t="shared" si="23"/>
        <v>1.8719999999999999</v>
      </c>
      <c r="L340" s="111"/>
      <c r="M340" s="111"/>
      <c r="N340" s="111"/>
      <c r="O340" s="111"/>
    </row>
    <row r="341" spans="2:15" x14ac:dyDescent="0.3">
      <c r="B341" s="114"/>
      <c r="C341" s="233" t="s">
        <v>759</v>
      </c>
      <c r="D341" s="234" t="s">
        <v>0</v>
      </c>
      <c r="E341" s="235">
        <v>1</v>
      </c>
      <c r="F341" s="236">
        <f>0.4+0.4</f>
        <v>0.8</v>
      </c>
      <c r="G341" s="236"/>
      <c r="H341" s="236">
        <v>2.88</v>
      </c>
      <c r="I341" s="235">
        <v>1</v>
      </c>
      <c r="J341" s="237"/>
      <c r="K341" s="237">
        <f t="shared" si="23"/>
        <v>2.3039999999999998</v>
      </c>
      <c r="L341" s="111"/>
      <c r="M341" s="111"/>
      <c r="N341" s="111"/>
      <c r="O341" s="111"/>
    </row>
    <row r="342" spans="2:15" x14ac:dyDescent="0.3">
      <c r="B342" s="114"/>
      <c r="C342" s="233" t="s">
        <v>760</v>
      </c>
      <c r="D342" s="234" t="s">
        <v>0</v>
      </c>
      <c r="E342" s="235">
        <v>1</v>
      </c>
      <c r="F342" s="236">
        <f>0.4+0.25</f>
        <v>0.65</v>
      </c>
      <c r="G342" s="236"/>
      <c r="H342" s="236">
        <v>2.88</v>
      </c>
      <c r="I342" s="235">
        <v>1</v>
      </c>
      <c r="J342" s="237"/>
      <c r="K342" s="237">
        <f t="shared" si="23"/>
        <v>1.8719999999999999</v>
      </c>
      <c r="L342" s="111"/>
      <c r="M342" s="111"/>
      <c r="N342" s="111"/>
      <c r="O342" s="111"/>
    </row>
    <row r="343" spans="2:15" x14ac:dyDescent="0.3">
      <c r="B343" s="114"/>
      <c r="C343" s="233" t="s">
        <v>761</v>
      </c>
      <c r="D343" s="234" t="s">
        <v>0</v>
      </c>
      <c r="E343" s="235">
        <v>1</v>
      </c>
      <c r="F343" s="236">
        <f>0.15+0.25+0.15</f>
        <v>0.55000000000000004</v>
      </c>
      <c r="G343" s="236"/>
      <c r="H343" s="236">
        <v>2.88</v>
      </c>
      <c r="I343" s="235">
        <v>1</v>
      </c>
      <c r="J343" s="237"/>
      <c r="K343" s="237">
        <f t="shared" si="23"/>
        <v>1.5840000000000001</v>
      </c>
      <c r="L343" s="111"/>
      <c r="M343" s="111"/>
      <c r="N343" s="111"/>
      <c r="O343" s="111"/>
    </row>
    <row r="344" spans="2:15" x14ac:dyDescent="0.3">
      <c r="B344" s="114"/>
      <c r="C344" s="233" t="s">
        <v>762</v>
      </c>
      <c r="D344" s="234" t="s">
        <v>0</v>
      </c>
      <c r="E344" s="235">
        <v>1</v>
      </c>
      <c r="F344" s="236">
        <v>0.15</v>
      </c>
      <c r="G344" s="236"/>
      <c r="H344" s="236">
        <v>2.88</v>
      </c>
      <c r="I344" s="235">
        <v>1</v>
      </c>
      <c r="J344" s="237"/>
      <c r="K344" s="237">
        <f>IF(E344="","",PRODUCT(E344:I344))</f>
        <v>0.432</v>
      </c>
      <c r="L344" s="111"/>
      <c r="M344" s="111"/>
      <c r="N344" s="111"/>
      <c r="O344" s="111"/>
    </row>
    <row r="345" spans="2:15" x14ac:dyDescent="0.3">
      <c r="B345" s="114"/>
      <c r="C345" s="233" t="s">
        <v>763</v>
      </c>
      <c r="D345" s="234" t="s">
        <v>0</v>
      </c>
      <c r="E345" s="235">
        <v>1</v>
      </c>
      <c r="F345" s="236">
        <f>1.2+1.3</f>
        <v>2.5</v>
      </c>
      <c r="G345" s="236"/>
      <c r="H345" s="236">
        <v>2.88</v>
      </c>
      <c r="I345" s="235">
        <v>1</v>
      </c>
      <c r="J345" s="237"/>
      <c r="K345" s="237">
        <f>IF(E345="","",PRODUCT(E345:I345))</f>
        <v>7.1999999999999993</v>
      </c>
      <c r="L345" s="111"/>
      <c r="M345" s="111"/>
      <c r="N345" s="111"/>
      <c r="O345" s="111"/>
    </row>
    <row r="346" spans="2:15" x14ac:dyDescent="0.3">
      <c r="B346" s="114"/>
      <c r="C346" s="233" t="s">
        <v>764</v>
      </c>
      <c r="D346" s="234" t="s">
        <v>0</v>
      </c>
      <c r="E346" s="235">
        <v>1</v>
      </c>
      <c r="F346" s="236">
        <f>0.25+0.1+0.15</f>
        <v>0.5</v>
      </c>
      <c r="G346" s="236"/>
      <c r="H346" s="236">
        <v>2.88</v>
      </c>
      <c r="I346" s="235">
        <v>1</v>
      </c>
      <c r="J346" s="237"/>
      <c r="K346" s="237">
        <f t="shared" ref="K346:K349" si="24">IF(E346="","",PRODUCT(E346:I346))</f>
        <v>1.44</v>
      </c>
      <c r="L346" s="111"/>
      <c r="M346" s="111"/>
      <c r="N346" s="111"/>
      <c r="O346" s="111"/>
    </row>
    <row r="347" spans="2:15" x14ac:dyDescent="0.3">
      <c r="B347" s="114"/>
      <c r="C347" s="233" t="s">
        <v>765</v>
      </c>
      <c r="D347" s="234" t="s">
        <v>0</v>
      </c>
      <c r="E347" s="235">
        <v>1</v>
      </c>
      <c r="F347" s="236">
        <f>0.05+0.25+0.15</f>
        <v>0.44999999999999996</v>
      </c>
      <c r="G347" s="236"/>
      <c r="H347" s="236">
        <v>2.88</v>
      </c>
      <c r="I347" s="235">
        <v>1</v>
      </c>
      <c r="J347" s="237"/>
      <c r="K347" s="237">
        <f t="shared" si="24"/>
        <v>1.2959999999999998</v>
      </c>
      <c r="L347" s="111"/>
      <c r="M347" s="111"/>
      <c r="N347" s="111"/>
      <c r="O347" s="111"/>
    </row>
    <row r="348" spans="2:15" x14ac:dyDescent="0.3">
      <c r="B348" s="114"/>
      <c r="C348" s="233" t="s">
        <v>766</v>
      </c>
      <c r="D348" s="234" t="s">
        <v>0</v>
      </c>
      <c r="E348" s="235">
        <v>1</v>
      </c>
      <c r="F348" s="236">
        <v>1.3</v>
      </c>
      <c r="G348" s="236"/>
      <c r="H348" s="236">
        <v>2.88</v>
      </c>
      <c r="I348" s="235">
        <v>1</v>
      </c>
      <c r="J348" s="237"/>
      <c r="K348" s="237">
        <f t="shared" si="24"/>
        <v>3.7439999999999998</v>
      </c>
      <c r="L348" s="111"/>
      <c r="M348" s="111"/>
      <c r="N348" s="111"/>
      <c r="O348" s="111"/>
    </row>
    <row r="349" spans="2:15" x14ac:dyDescent="0.3">
      <c r="B349" s="114"/>
      <c r="C349" s="233" t="s">
        <v>767</v>
      </c>
      <c r="D349" s="234" t="s">
        <v>0</v>
      </c>
      <c r="E349" s="235">
        <v>1</v>
      </c>
      <c r="F349" s="236">
        <f>0.15+0.25+0.15</f>
        <v>0.55000000000000004</v>
      </c>
      <c r="G349" s="236"/>
      <c r="H349" s="236">
        <v>2.88</v>
      </c>
      <c r="I349" s="235">
        <v>1</v>
      </c>
      <c r="J349" s="237"/>
      <c r="K349" s="237">
        <f t="shared" si="24"/>
        <v>1.5840000000000001</v>
      </c>
      <c r="L349" s="111"/>
      <c r="M349" s="111"/>
      <c r="N349" s="111"/>
      <c r="O349" s="111"/>
    </row>
    <row r="350" spans="2:15" x14ac:dyDescent="0.3">
      <c r="B350" s="114"/>
      <c r="C350" s="233" t="s">
        <v>768</v>
      </c>
      <c r="D350" s="234" t="s">
        <v>0</v>
      </c>
      <c r="E350" s="235">
        <v>1</v>
      </c>
      <c r="F350" s="236">
        <f>0.15+0.1+0.05</f>
        <v>0.3</v>
      </c>
      <c r="G350" s="236"/>
      <c r="H350" s="236">
        <v>2.88</v>
      </c>
      <c r="I350" s="235">
        <v>1</v>
      </c>
      <c r="J350" s="237"/>
      <c r="K350" s="237">
        <f>IF(E350="","",PRODUCT(E350:I350))</f>
        <v>0.86399999999999999</v>
      </c>
      <c r="L350" s="111"/>
      <c r="M350" s="111"/>
      <c r="N350" s="111"/>
      <c r="O350" s="111"/>
    </row>
    <row r="351" spans="2:15" x14ac:dyDescent="0.3">
      <c r="B351" s="114"/>
      <c r="C351" s="233" t="s">
        <v>769</v>
      </c>
      <c r="D351" s="234" t="s">
        <v>0</v>
      </c>
      <c r="E351" s="235">
        <v>1</v>
      </c>
      <c r="F351" s="236">
        <v>1.3</v>
      </c>
      <c r="G351" s="236"/>
      <c r="H351" s="236">
        <v>2.88</v>
      </c>
      <c r="I351" s="235">
        <v>1</v>
      </c>
      <c r="J351" s="237"/>
      <c r="K351" s="237">
        <f t="shared" ref="K351:K354" si="25">IF(E351="","",PRODUCT(E351:I351))</f>
        <v>3.7439999999999998</v>
      </c>
      <c r="L351" s="111"/>
      <c r="M351" s="111"/>
      <c r="N351" s="111"/>
      <c r="O351" s="111"/>
    </row>
    <row r="352" spans="2:15" x14ac:dyDescent="0.3">
      <c r="B352" s="114"/>
      <c r="C352" s="233" t="s">
        <v>770</v>
      </c>
      <c r="D352" s="234" t="s">
        <v>0</v>
      </c>
      <c r="E352" s="235">
        <v>1</v>
      </c>
      <c r="F352" s="236">
        <f>0.25+0.15+0.15</f>
        <v>0.55000000000000004</v>
      </c>
      <c r="G352" s="236"/>
      <c r="H352" s="236">
        <v>2.88</v>
      </c>
      <c r="I352" s="235">
        <v>1</v>
      </c>
      <c r="J352" s="237"/>
      <c r="K352" s="237">
        <f t="shared" si="25"/>
        <v>1.5840000000000001</v>
      </c>
      <c r="L352" s="111"/>
      <c r="M352" s="111"/>
      <c r="N352" s="111"/>
      <c r="O352" s="111"/>
    </row>
    <row r="353" spans="2:15" x14ac:dyDescent="0.3">
      <c r="B353" s="114"/>
      <c r="C353" s="233" t="s">
        <v>771</v>
      </c>
      <c r="D353" s="234" t="s">
        <v>0</v>
      </c>
      <c r="E353" s="235">
        <v>1</v>
      </c>
      <c r="F353" s="236">
        <f>0.15</f>
        <v>0.15</v>
      </c>
      <c r="G353" s="236"/>
      <c r="H353" s="236">
        <v>3.88</v>
      </c>
      <c r="I353" s="235">
        <v>1</v>
      </c>
      <c r="J353" s="237"/>
      <c r="K353" s="237">
        <f t="shared" si="25"/>
        <v>0.58199999999999996</v>
      </c>
      <c r="L353" s="111"/>
      <c r="M353" s="111"/>
      <c r="N353" s="111"/>
      <c r="O353" s="111"/>
    </row>
    <row r="354" spans="2:15" x14ac:dyDescent="0.3">
      <c r="B354" s="114"/>
      <c r="C354" s="233" t="s">
        <v>772</v>
      </c>
      <c r="D354" s="234" t="s">
        <v>0</v>
      </c>
      <c r="E354" s="235">
        <v>1</v>
      </c>
      <c r="F354" s="236">
        <f>1.3+1.2</f>
        <v>2.5</v>
      </c>
      <c r="G354" s="236"/>
      <c r="H354" s="236">
        <v>2.88</v>
      </c>
      <c r="I354" s="235">
        <v>1</v>
      </c>
      <c r="J354" s="237"/>
      <c r="K354" s="237">
        <f t="shared" si="25"/>
        <v>7.1999999999999993</v>
      </c>
      <c r="L354" s="111"/>
      <c r="M354" s="111"/>
      <c r="N354" s="111"/>
      <c r="O354" s="111"/>
    </row>
    <row r="355" spans="2:15" x14ac:dyDescent="0.3">
      <c r="B355" s="114"/>
      <c r="C355" s="265"/>
      <c r="D355" s="116"/>
      <c r="E355" s="109"/>
      <c r="F355" s="110"/>
      <c r="G355" s="110"/>
      <c r="H355" s="110"/>
      <c r="I355" s="109"/>
      <c r="J355" s="111"/>
      <c r="K355" s="111"/>
      <c r="L355" s="111"/>
      <c r="M355" s="111"/>
      <c r="N355" s="111"/>
      <c r="O355" s="111"/>
    </row>
    <row r="356" spans="2:15" ht="20.399999999999999" x14ac:dyDescent="0.3">
      <c r="B356" s="99" t="s">
        <v>1183</v>
      </c>
      <c r="C356" s="226" t="s">
        <v>122</v>
      </c>
      <c r="D356" s="101" t="s">
        <v>0</v>
      </c>
      <c r="E356" s="1"/>
      <c r="F356" s="2"/>
      <c r="G356" s="2"/>
      <c r="H356" s="2"/>
      <c r="I356" s="3"/>
      <c r="J356" s="103"/>
      <c r="K356" s="103" t="str">
        <f>IF(E356="","",PRODUCT(E356:I356))</f>
        <v/>
      </c>
      <c r="L356" s="103"/>
      <c r="M356" s="103"/>
      <c r="N356" s="103"/>
      <c r="O356" s="103">
        <f>SUM(K356:K534)</f>
        <v>265.8300000000001</v>
      </c>
    </row>
    <row r="357" spans="2:15" x14ac:dyDescent="0.3">
      <c r="B357" s="106"/>
      <c r="C357" s="115" t="s">
        <v>127</v>
      </c>
      <c r="D357" s="121"/>
      <c r="E357" s="3"/>
      <c r="F357" s="122" t="s">
        <v>198</v>
      </c>
      <c r="G357" s="122"/>
      <c r="H357" s="122"/>
      <c r="I357" s="3"/>
      <c r="J357" s="113"/>
      <c r="K357" s="113"/>
      <c r="L357" s="113"/>
      <c r="M357" s="113"/>
      <c r="N357" s="113"/>
      <c r="O357" s="113"/>
    </row>
    <row r="358" spans="2:15" x14ac:dyDescent="0.3">
      <c r="B358" s="114"/>
      <c r="C358" s="233" t="s">
        <v>774</v>
      </c>
      <c r="D358" s="234" t="s">
        <v>0</v>
      </c>
      <c r="E358" s="235">
        <v>1</v>
      </c>
      <c r="F358" s="236">
        <f>0.1+0.4</f>
        <v>0.5</v>
      </c>
      <c r="G358" s="236"/>
      <c r="H358" s="236">
        <v>3.29</v>
      </c>
      <c r="I358" s="235">
        <v>1</v>
      </c>
      <c r="J358" s="237"/>
      <c r="K358" s="237">
        <f t="shared" ref="K358:K417" si="26">IF(E358="","",PRODUCT(E358:I358))</f>
        <v>1.645</v>
      </c>
      <c r="L358" s="111"/>
      <c r="M358" s="111"/>
      <c r="N358" s="111"/>
      <c r="O358" s="111"/>
    </row>
    <row r="359" spans="2:15" x14ac:dyDescent="0.3">
      <c r="B359" s="114"/>
      <c r="C359" s="233" t="s">
        <v>717</v>
      </c>
      <c r="D359" s="234" t="s">
        <v>0</v>
      </c>
      <c r="E359" s="235">
        <v>1</v>
      </c>
      <c r="F359" s="236">
        <f>0.1+0.2</f>
        <v>0.30000000000000004</v>
      </c>
      <c r="G359" s="236"/>
      <c r="H359" s="236">
        <v>2.2000000000000002</v>
      </c>
      <c r="I359" s="235">
        <v>1</v>
      </c>
      <c r="J359" s="237"/>
      <c r="K359" s="237">
        <f t="shared" si="26"/>
        <v>0.66000000000000014</v>
      </c>
      <c r="L359" s="111"/>
      <c r="M359" s="111"/>
      <c r="N359" s="111"/>
      <c r="O359" s="111"/>
    </row>
    <row r="360" spans="2:15" x14ac:dyDescent="0.3">
      <c r="B360" s="114"/>
      <c r="C360" s="233" t="s">
        <v>775</v>
      </c>
      <c r="D360" s="234" t="s">
        <v>0</v>
      </c>
      <c r="E360" s="235">
        <v>1</v>
      </c>
      <c r="F360" s="236">
        <f>0.25+0.2</f>
        <v>0.45</v>
      </c>
      <c r="G360" s="236"/>
      <c r="H360" s="236">
        <f>2.83+1</f>
        <v>3.83</v>
      </c>
      <c r="I360" s="235">
        <v>1</v>
      </c>
      <c r="J360" s="237"/>
      <c r="K360" s="237">
        <f t="shared" si="26"/>
        <v>1.7235</v>
      </c>
      <c r="L360" s="111"/>
      <c r="M360" s="111"/>
      <c r="N360" s="111"/>
      <c r="O360" s="111"/>
    </row>
    <row r="361" spans="2:15" x14ac:dyDescent="0.3">
      <c r="B361" s="114"/>
      <c r="C361" s="233" t="s">
        <v>776</v>
      </c>
      <c r="D361" s="234" t="s">
        <v>0</v>
      </c>
      <c r="E361" s="235">
        <v>1</v>
      </c>
      <c r="F361" s="236">
        <f>0.25+0.2+0.2</f>
        <v>0.65</v>
      </c>
      <c r="G361" s="236"/>
      <c r="H361" s="236">
        <v>2.63</v>
      </c>
      <c r="I361" s="235">
        <v>1</v>
      </c>
      <c r="J361" s="237"/>
      <c r="K361" s="237">
        <f t="shared" si="26"/>
        <v>1.7095</v>
      </c>
      <c r="L361" s="111"/>
      <c r="M361" s="111"/>
      <c r="N361" s="111"/>
      <c r="O361" s="111"/>
    </row>
    <row r="362" spans="2:15" x14ac:dyDescent="0.3">
      <c r="B362" s="114"/>
      <c r="C362" s="233" t="s">
        <v>777</v>
      </c>
      <c r="D362" s="234" t="s">
        <v>0</v>
      </c>
      <c r="E362" s="235">
        <v>1</v>
      </c>
      <c r="F362" s="236">
        <f>0.25+0.2</f>
        <v>0.45</v>
      </c>
      <c r="G362" s="236"/>
      <c r="H362" s="236">
        <v>2.63</v>
      </c>
      <c r="I362" s="235">
        <v>1</v>
      </c>
      <c r="J362" s="237"/>
      <c r="K362" s="237">
        <f t="shared" si="26"/>
        <v>1.1835</v>
      </c>
      <c r="L362" s="111"/>
      <c r="M362" s="111"/>
      <c r="N362" s="111"/>
      <c r="O362" s="111"/>
    </row>
    <row r="363" spans="2:15" x14ac:dyDescent="0.3">
      <c r="B363" s="114"/>
      <c r="C363" s="233" t="s">
        <v>778</v>
      </c>
      <c r="D363" s="234" t="s">
        <v>0</v>
      </c>
      <c r="E363" s="235">
        <v>1</v>
      </c>
      <c r="F363" s="236">
        <f>0.2+0.15</f>
        <v>0.35</v>
      </c>
      <c r="G363" s="236"/>
      <c r="H363" s="236">
        <v>5.45</v>
      </c>
      <c r="I363" s="235">
        <v>1</v>
      </c>
      <c r="J363" s="237"/>
      <c r="K363" s="237">
        <f t="shared" si="26"/>
        <v>1.9075</v>
      </c>
      <c r="L363" s="111"/>
      <c r="M363" s="111"/>
      <c r="N363" s="111"/>
      <c r="O363" s="111"/>
    </row>
    <row r="364" spans="2:15" x14ac:dyDescent="0.3">
      <c r="B364" s="114"/>
      <c r="C364" s="233" t="s">
        <v>779</v>
      </c>
      <c r="D364" s="234" t="s">
        <v>0</v>
      </c>
      <c r="E364" s="235">
        <v>1</v>
      </c>
      <c r="F364" s="236">
        <f>0.25+0.2+0.2</f>
        <v>0.65</v>
      </c>
      <c r="G364" s="236"/>
      <c r="H364" s="236">
        <v>4.25</v>
      </c>
      <c r="I364" s="235">
        <v>1</v>
      </c>
      <c r="J364" s="237"/>
      <c r="K364" s="237">
        <f t="shared" si="26"/>
        <v>2.7625000000000002</v>
      </c>
      <c r="L364" s="111"/>
      <c r="M364" s="111"/>
      <c r="N364" s="111"/>
      <c r="O364" s="111"/>
    </row>
    <row r="365" spans="2:15" x14ac:dyDescent="0.3">
      <c r="B365" s="114"/>
      <c r="C365" s="233" t="s">
        <v>780</v>
      </c>
      <c r="D365" s="234" t="s">
        <v>0</v>
      </c>
      <c r="E365" s="235">
        <v>1</v>
      </c>
      <c r="F365" s="236">
        <f>0.1+0.2</f>
        <v>0.30000000000000004</v>
      </c>
      <c r="G365" s="236"/>
      <c r="H365" s="236">
        <v>4.25</v>
      </c>
      <c r="I365" s="235">
        <v>1</v>
      </c>
      <c r="J365" s="237"/>
      <c r="K365" s="237">
        <f t="shared" si="26"/>
        <v>1.2750000000000001</v>
      </c>
      <c r="L365" s="111"/>
      <c r="M365" s="111"/>
      <c r="N365" s="111"/>
      <c r="O365" s="111"/>
    </row>
    <row r="366" spans="2:15" x14ac:dyDescent="0.3">
      <c r="B366" s="114"/>
      <c r="C366" s="233" t="s">
        <v>781</v>
      </c>
      <c r="D366" s="234" t="s">
        <v>0</v>
      </c>
      <c r="E366" s="235">
        <v>1</v>
      </c>
      <c r="F366" s="236">
        <f>0.1+0.2+0.2</f>
        <v>0.5</v>
      </c>
      <c r="G366" s="236"/>
      <c r="H366" s="236">
        <v>2.2000000000000002</v>
      </c>
      <c r="I366" s="235">
        <v>1</v>
      </c>
      <c r="J366" s="237"/>
      <c r="K366" s="237">
        <f t="shared" si="26"/>
        <v>1.1000000000000001</v>
      </c>
      <c r="L366" s="111"/>
      <c r="M366" s="111"/>
      <c r="N366" s="111"/>
      <c r="O366" s="111"/>
    </row>
    <row r="367" spans="2:15" x14ac:dyDescent="0.3">
      <c r="B367" s="114"/>
      <c r="C367" s="233" t="s">
        <v>782</v>
      </c>
      <c r="D367" s="234" t="s">
        <v>0</v>
      </c>
      <c r="E367" s="235">
        <v>1</v>
      </c>
      <c r="F367" s="236">
        <f>0.1+0.2+0.2</f>
        <v>0.5</v>
      </c>
      <c r="G367" s="236"/>
      <c r="H367" s="236">
        <v>5.63</v>
      </c>
      <c r="I367" s="235">
        <v>1</v>
      </c>
      <c r="J367" s="237"/>
      <c r="K367" s="237">
        <f t="shared" si="26"/>
        <v>2.8149999999999999</v>
      </c>
      <c r="L367" s="111"/>
      <c r="M367" s="111"/>
      <c r="N367" s="111"/>
      <c r="O367" s="111"/>
    </row>
    <row r="368" spans="2:15" x14ac:dyDescent="0.3">
      <c r="B368" s="114"/>
      <c r="C368" s="233" t="s">
        <v>783</v>
      </c>
      <c r="D368" s="234" t="s">
        <v>0</v>
      </c>
      <c r="E368" s="235">
        <v>1</v>
      </c>
      <c r="F368" s="236">
        <f>0.25+0.2+0.2</f>
        <v>0.65</v>
      </c>
      <c r="G368" s="236"/>
      <c r="H368" s="236">
        <v>1.2</v>
      </c>
      <c r="I368" s="235">
        <v>1</v>
      </c>
      <c r="J368" s="237"/>
      <c r="K368" s="237">
        <f t="shared" si="26"/>
        <v>0.78</v>
      </c>
      <c r="L368" s="111"/>
      <c r="M368" s="111"/>
      <c r="N368" s="111"/>
      <c r="O368" s="111"/>
    </row>
    <row r="369" spans="2:15" x14ac:dyDescent="0.3">
      <c r="B369" s="114"/>
      <c r="C369" s="233"/>
      <c r="D369" s="234" t="s">
        <v>0</v>
      </c>
      <c r="E369" s="235">
        <v>1</v>
      </c>
      <c r="F369" s="236">
        <f>0.1+0.2+0.2</f>
        <v>0.5</v>
      </c>
      <c r="G369" s="236"/>
      <c r="H369" s="236">
        <v>1</v>
      </c>
      <c r="I369" s="235">
        <v>1</v>
      </c>
      <c r="J369" s="237"/>
      <c r="K369" s="237">
        <f t="shared" si="26"/>
        <v>0.5</v>
      </c>
      <c r="L369" s="111"/>
      <c r="M369" s="111"/>
      <c r="N369" s="111"/>
      <c r="O369" s="111"/>
    </row>
    <row r="370" spans="2:15" x14ac:dyDescent="0.3">
      <c r="B370" s="114"/>
      <c r="C370" s="233" t="s">
        <v>784</v>
      </c>
      <c r="D370" s="234" t="s">
        <v>0</v>
      </c>
      <c r="E370" s="235">
        <v>1</v>
      </c>
      <c r="F370" s="236">
        <f>0.1+0.2+0.2</f>
        <v>0.5</v>
      </c>
      <c r="G370" s="236"/>
      <c r="H370" s="236">
        <v>5.69</v>
      </c>
      <c r="I370" s="235">
        <v>1</v>
      </c>
      <c r="J370" s="237"/>
      <c r="K370" s="237">
        <f t="shared" si="26"/>
        <v>2.8450000000000002</v>
      </c>
      <c r="L370" s="111"/>
      <c r="M370" s="111"/>
      <c r="N370" s="111"/>
      <c r="O370" s="111"/>
    </row>
    <row r="371" spans="2:15" x14ac:dyDescent="0.3">
      <c r="B371" s="114"/>
      <c r="C371" s="233" t="s">
        <v>785</v>
      </c>
      <c r="D371" s="234" t="s">
        <v>0</v>
      </c>
      <c r="E371" s="235">
        <v>1</v>
      </c>
      <c r="F371" s="236">
        <f>0.25+0.2</f>
        <v>0.45</v>
      </c>
      <c r="G371" s="236"/>
      <c r="H371" s="236">
        <v>4.3499999999999996</v>
      </c>
      <c r="I371" s="235">
        <v>1</v>
      </c>
      <c r="J371" s="237"/>
      <c r="K371" s="237">
        <f t="shared" si="26"/>
        <v>1.9574999999999998</v>
      </c>
      <c r="L371" s="111"/>
      <c r="M371" s="111"/>
      <c r="N371" s="111"/>
      <c r="O371" s="111"/>
    </row>
    <row r="372" spans="2:15" x14ac:dyDescent="0.3">
      <c r="B372" s="114"/>
      <c r="C372" s="233" t="s">
        <v>786</v>
      </c>
      <c r="D372" s="234" t="s">
        <v>0</v>
      </c>
      <c r="E372" s="235">
        <v>1</v>
      </c>
      <c r="F372" s="236">
        <f>0.25+0.2+0.2</f>
        <v>0.65</v>
      </c>
      <c r="G372" s="236"/>
      <c r="H372" s="236">
        <v>3.84</v>
      </c>
      <c r="I372" s="235">
        <v>1</v>
      </c>
      <c r="J372" s="237"/>
      <c r="K372" s="237">
        <f t="shared" si="26"/>
        <v>2.496</v>
      </c>
      <c r="L372" s="111"/>
      <c r="M372" s="111"/>
      <c r="N372" s="111"/>
      <c r="O372" s="111"/>
    </row>
    <row r="373" spans="2:15" x14ac:dyDescent="0.3">
      <c r="B373" s="114"/>
      <c r="C373" s="233"/>
      <c r="D373" s="234" t="s">
        <v>0</v>
      </c>
      <c r="E373" s="235">
        <v>1</v>
      </c>
      <c r="F373" s="236">
        <f>0.1+0.2+0.2</f>
        <v>0.5</v>
      </c>
      <c r="G373" s="236"/>
      <c r="H373" s="236">
        <v>0.51</v>
      </c>
      <c r="I373" s="235">
        <v>1</v>
      </c>
      <c r="J373" s="237"/>
      <c r="K373" s="237">
        <f t="shared" si="26"/>
        <v>0.255</v>
      </c>
      <c r="L373" s="111"/>
      <c r="M373" s="111"/>
      <c r="N373" s="111"/>
      <c r="O373" s="111"/>
    </row>
    <row r="374" spans="2:15" x14ac:dyDescent="0.3">
      <c r="B374" s="114"/>
      <c r="C374" s="233" t="s">
        <v>787</v>
      </c>
      <c r="D374" s="234" t="s">
        <v>0</v>
      </c>
      <c r="E374" s="235">
        <v>1</v>
      </c>
      <c r="F374" s="236">
        <f>0.1+0.2</f>
        <v>0.30000000000000004</v>
      </c>
      <c r="G374" s="236"/>
      <c r="H374" s="236">
        <v>2.2999999999999998</v>
      </c>
      <c r="I374" s="235">
        <v>1</v>
      </c>
      <c r="J374" s="237"/>
      <c r="K374" s="237">
        <f t="shared" si="26"/>
        <v>0.69000000000000006</v>
      </c>
      <c r="L374" s="111"/>
      <c r="M374" s="111"/>
      <c r="N374" s="111"/>
      <c r="O374" s="111"/>
    </row>
    <row r="375" spans="2:15" x14ac:dyDescent="0.3">
      <c r="B375" s="114"/>
      <c r="C375" s="233"/>
      <c r="D375" s="234" t="s">
        <v>0</v>
      </c>
      <c r="E375" s="235">
        <v>1</v>
      </c>
      <c r="F375" s="236">
        <f>0.1+0.2</f>
        <v>0.30000000000000004</v>
      </c>
      <c r="G375" s="236"/>
      <c r="H375" s="236">
        <v>0.5</v>
      </c>
      <c r="I375" s="235">
        <v>1</v>
      </c>
      <c r="J375" s="237"/>
      <c r="K375" s="237">
        <f t="shared" si="26"/>
        <v>0.15000000000000002</v>
      </c>
      <c r="L375" s="111"/>
      <c r="M375" s="111"/>
      <c r="N375" s="111"/>
      <c r="O375" s="111"/>
    </row>
    <row r="376" spans="2:15" x14ac:dyDescent="0.3">
      <c r="B376" s="114"/>
      <c r="C376" s="233"/>
      <c r="D376" s="234" t="s">
        <v>0</v>
      </c>
      <c r="E376" s="235">
        <v>1</v>
      </c>
      <c r="F376" s="236">
        <f>0.25+0.2+0.2</f>
        <v>0.65</v>
      </c>
      <c r="G376" s="236"/>
      <c r="H376" s="236">
        <v>1.55</v>
      </c>
      <c r="I376" s="235">
        <v>1</v>
      </c>
      <c r="J376" s="237"/>
      <c r="K376" s="237">
        <f t="shared" si="26"/>
        <v>1.0075000000000001</v>
      </c>
      <c r="L376" s="111"/>
      <c r="M376" s="111"/>
      <c r="N376" s="111"/>
      <c r="O376" s="111"/>
    </row>
    <row r="377" spans="2:15" x14ac:dyDescent="0.3">
      <c r="B377" s="114"/>
      <c r="C377" s="233" t="s">
        <v>788</v>
      </c>
      <c r="D377" s="234" t="s">
        <v>0</v>
      </c>
      <c r="E377" s="235">
        <v>1</v>
      </c>
      <c r="F377" s="236">
        <f>0.25+0.2+0.2</f>
        <v>0.65</v>
      </c>
      <c r="G377" s="236"/>
      <c r="H377" s="236">
        <v>2.2000000000000002</v>
      </c>
      <c r="I377" s="235">
        <v>1</v>
      </c>
      <c r="J377" s="237"/>
      <c r="K377" s="237">
        <f t="shared" si="26"/>
        <v>1.4300000000000002</v>
      </c>
      <c r="L377" s="111"/>
      <c r="M377" s="111"/>
      <c r="N377" s="111"/>
      <c r="O377" s="111"/>
    </row>
    <row r="378" spans="2:15" x14ac:dyDescent="0.3">
      <c r="B378" s="114"/>
      <c r="C378" s="233" t="s">
        <v>789</v>
      </c>
      <c r="D378" s="234" t="s">
        <v>0</v>
      </c>
      <c r="E378" s="235">
        <v>1</v>
      </c>
      <c r="F378" s="236">
        <f>0.25+0.2+0.2</f>
        <v>0.65</v>
      </c>
      <c r="G378" s="236"/>
      <c r="H378" s="236">
        <v>5.69</v>
      </c>
      <c r="I378" s="235">
        <v>1</v>
      </c>
      <c r="J378" s="237"/>
      <c r="K378" s="237">
        <f t="shared" si="26"/>
        <v>3.6985000000000006</v>
      </c>
      <c r="L378" s="111"/>
      <c r="M378" s="111"/>
      <c r="N378" s="111"/>
      <c r="O378" s="111"/>
    </row>
    <row r="379" spans="2:15" x14ac:dyDescent="0.3">
      <c r="B379" s="114"/>
      <c r="C379" s="233" t="s">
        <v>790</v>
      </c>
      <c r="D379" s="234" t="s">
        <v>0</v>
      </c>
      <c r="E379" s="235">
        <v>1</v>
      </c>
      <c r="F379" s="236">
        <f>0.25+0.2</f>
        <v>0.45</v>
      </c>
      <c r="G379" s="236"/>
      <c r="H379" s="236">
        <v>3.81</v>
      </c>
      <c r="I379" s="235">
        <v>1</v>
      </c>
      <c r="J379" s="237"/>
      <c r="K379" s="237">
        <f t="shared" si="26"/>
        <v>1.7145000000000001</v>
      </c>
      <c r="L379" s="111"/>
      <c r="M379" s="111"/>
      <c r="N379" s="111"/>
      <c r="O379" s="111"/>
    </row>
    <row r="380" spans="2:15" x14ac:dyDescent="0.3">
      <c r="B380" s="114"/>
      <c r="C380" s="233" t="s">
        <v>791</v>
      </c>
      <c r="D380" s="234" t="s">
        <v>0</v>
      </c>
      <c r="E380" s="235">
        <v>1</v>
      </c>
      <c r="F380" s="236">
        <f>0.25+0.2+0.2</f>
        <v>0.65</v>
      </c>
      <c r="G380" s="236"/>
      <c r="H380" s="236">
        <v>3.81</v>
      </c>
      <c r="I380" s="235">
        <v>1</v>
      </c>
      <c r="J380" s="237"/>
      <c r="K380" s="237">
        <f t="shared" si="26"/>
        <v>2.4765000000000001</v>
      </c>
      <c r="L380" s="111"/>
      <c r="M380" s="111"/>
      <c r="N380" s="111"/>
      <c r="O380" s="111"/>
    </row>
    <row r="381" spans="2:15" x14ac:dyDescent="0.3">
      <c r="B381" s="114"/>
      <c r="C381" s="233" t="s">
        <v>792</v>
      </c>
      <c r="D381" s="234" t="s">
        <v>0</v>
      </c>
      <c r="E381" s="235">
        <v>1</v>
      </c>
      <c r="F381" s="236">
        <f>0.1+0.2</f>
        <v>0.30000000000000004</v>
      </c>
      <c r="G381" s="236"/>
      <c r="H381" s="236">
        <v>2.2999999999999998</v>
      </c>
      <c r="I381" s="235">
        <v>1</v>
      </c>
      <c r="J381" s="237"/>
      <c r="K381" s="237">
        <f t="shared" si="26"/>
        <v>0.69000000000000006</v>
      </c>
      <c r="L381" s="111"/>
      <c r="M381" s="111"/>
      <c r="N381" s="111"/>
      <c r="O381" s="111"/>
    </row>
    <row r="382" spans="2:15" x14ac:dyDescent="0.3">
      <c r="B382" s="114"/>
      <c r="C382" s="233"/>
      <c r="D382" s="234" t="s">
        <v>0</v>
      </c>
      <c r="E382" s="235">
        <v>1</v>
      </c>
      <c r="F382" s="236">
        <f>0.1+0.2</f>
        <v>0.30000000000000004</v>
      </c>
      <c r="G382" s="236"/>
      <c r="H382" s="236">
        <v>1.5</v>
      </c>
      <c r="I382" s="235">
        <v>1</v>
      </c>
      <c r="J382" s="237"/>
      <c r="K382" s="237">
        <f t="shared" si="26"/>
        <v>0.45000000000000007</v>
      </c>
      <c r="L382" s="111"/>
      <c r="M382" s="111"/>
      <c r="N382" s="111"/>
      <c r="O382" s="111"/>
    </row>
    <row r="383" spans="2:15" x14ac:dyDescent="0.3">
      <c r="B383" s="114"/>
      <c r="C383" s="233" t="s">
        <v>793</v>
      </c>
      <c r="D383" s="234" t="s">
        <v>0</v>
      </c>
      <c r="E383" s="235">
        <v>1</v>
      </c>
      <c r="F383" s="236">
        <f>0.25+0.2+0.2</f>
        <v>0.65</v>
      </c>
      <c r="G383" s="236"/>
      <c r="H383" s="236">
        <v>2.1</v>
      </c>
      <c r="I383" s="235">
        <v>1</v>
      </c>
      <c r="J383" s="237"/>
      <c r="K383" s="237">
        <f t="shared" si="26"/>
        <v>1.3650000000000002</v>
      </c>
      <c r="L383" s="111"/>
      <c r="M383" s="111"/>
      <c r="N383" s="111"/>
      <c r="O383" s="111"/>
    </row>
    <row r="384" spans="2:15" x14ac:dyDescent="0.3">
      <c r="B384" s="114"/>
      <c r="C384" s="233" t="s">
        <v>794</v>
      </c>
      <c r="D384" s="234" t="s">
        <v>0</v>
      </c>
      <c r="E384" s="235">
        <v>1</v>
      </c>
      <c r="F384" s="236">
        <f>0.25+0.2+0.2</f>
        <v>0.65</v>
      </c>
      <c r="G384" s="236"/>
      <c r="H384" s="236">
        <v>5.69</v>
      </c>
      <c r="I384" s="235">
        <v>1</v>
      </c>
      <c r="J384" s="237"/>
      <c r="K384" s="237">
        <f t="shared" si="26"/>
        <v>3.6985000000000006</v>
      </c>
      <c r="L384" s="111"/>
      <c r="M384" s="111"/>
      <c r="N384" s="111"/>
      <c r="O384" s="111"/>
    </row>
    <row r="385" spans="2:15" x14ac:dyDescent="0.3">
      <c r="B385" s="114"/>
      <c r="C385" s="233" t="s">
        <v>795</v>
      </c>
      <c r="D385" s="234" t="s">
        <v>0</v>
      </c>
      <c r="E385" s="235">
        <v>1</v>
      </c>
      <c r="F385" s="236">
        <f>0.25+0.2</f>
        <v>0.45</v>
      </c>
      <c r="G385" s="236"/>
      <c r="H385" s="236">
        <v>4.34</v>
      </c>
      <c r="I385" s="235">
        <v>1</v>
      </c>
      <c r="J385" s="237"/>
      <c r="K385" s="237">
        <f t="shared" si="26"/>
        <v>1.9530000000000001</v>
      </c>
      <c r="L385" s="111"/>
      <c r="M385" s="111"/>
      <c r="N385" s="111"/>
      <c r="O385" s="111"/>
    </row>
    <row r="386" spans="2:15" x14ac:dyDescent="0.3">
      <c r="B386" s="114"/>
      <c r="C386" s="233" t="s">
        <v>796</v>
      </c>
      <c r="D386" s="234" t="s">
        <v>0</v>
      </c>
      <c r="E386" s="235">
        <v>1</v>
      </c>
      <c r="F386" s="236">
        <f>0.1+0.2+0.2</f>
        <v>0.5</v>
      </c>
      <c r="G386" s="236"/>
      <c r="H386" s="236">
        <v>1.47</v>
      </c>
      <c r="I386" s="235">
        <v>1</v>
      </c>
      <c r="J386" s="237"/>
      <c r="K386" s="237">
        <f t="shared" si="26"/>
        <v>0.73499999999999999</v>
      </c>
      <c r="L386" s="111"/>
      <c r="M386" s="111"/>
      <c r="N386" s="111"/>
      <c r="O386" s="111"/>
    </row>
    <row r="387" spans="2:15" x14ac:dyDescent="0.3">
      <c r="B387" s="114"/>
      <c r="C387" s="233"/>
      <c r="D387" s="234" t="s">
        <v>0</v>
      </c>
      <c r="E387" s="235">
        <v>1</v>
      </c>
      <c r="F387" s="236">
        <f>0.25+0.2+0.2</f>
        <v>0.65</v>
      </c>
      <c r="G387" s="236"/>
      <c r="H387" s="236">
        <v>2.87</v>
      </c>
      <c r="I387" s="235">
        <v>1</v>
      </c>
      <c r="J387" s="237"/>
      <c r="K387" s="237">
        <f t="shared" si="26"/>
        <v>1.8655000000000002</v>
      </c>
      <c r="L387" s="111"/>
      <c r="M387" s="111"/>
      <c r="N387" s="111"/>
      <c r="O387" s="111"/>
    </row>
    <row r="388" spans="2:15" x14ac:dyDescent="0.3">
      <c r="B388" s="114"/>
      <c r="C388" s="233" t="s">
        <v>797</v>
      </c>
      <c r="D388" s="234" t="s">
        <v>0</v>
      </c>
      <c r="E388" s="235">
        <v>1</v>
      </c>
      <c r="F388" s="236">
        <f>0.1+0.2</f>
        <v>0.30000000000000004</v>
      </c>
      <c r="G388" s="236"/>
      <c r="H388" s="236">
        <v>1.47</v>
      </c>
      <c r="I388" s="235">
        <v>1</v>
      </c>
      <c r="J388" s="237"/>
      <c r="K388" s="237">
        <f t="shared" si="26"/>
        <v>0.44100000000000006</v>
      </c>
      <c r="L388" s="111"/>
      <c r="M388" s="111"/>
      <c r="N388" s="111"/>
      <c r="O388" s="111"/>
    </row>
    <row r="389" spans="2:15" x14ac:dyDescent="0.3">
      <c r="B389" s="114"/>
      <c r="C389" s="280"/>
      <c r="D389" s="234" t="s">
        <v>0</v>
      </c>
      <c r="E389" s="235">
        <v>1</v>
      </c>
      <c r="F389" s="236">
        <f>0.1+0.2</f>
        <v>0.30000000000000004</v>
      </c>
      <c r="G389" s="236"/>
      <c r="H389" s="236">
        <v>1.33</v>
      </c>
      <c r="I389" s="235">
        <v>1</v>
      </c>
      <c r="J389" s="237"/>
      <c r="K389" s="237">
        <f t="shared" si="26"/>
        <v>0.39900000000000008</v>
      </c>
      <c r="L389" s="111"/>
      <c r="M389" s="111"/>
      <c r="N389" s="111"/>
      <c r="O389" s="111"/>
    </row>
    <row r="390" spans="2:15" x14ac:dyDescent="0.3">
      <c r="B390" s="114"/>
      <c r="C390" s="280"/>
      <c r="D390" s="234" t="s">
        <v>0</v>
      </c>
      <c r="E390" s="235">
        <v>1</v>
      </c>
      <c r="F390" s="236">
        <f>0.25+0.2</f>
        <v>0.45</v>
      </c>
      <c r="G390" s="236"/>
      <c r="H390" s="236">
        <v>1.56</v>
      </c>
      <c r="I390" s="235">
        <v>1</v>
      </c>
      <c r="J390" s="237"/>
      <c r="K390" s="237">
        <f t="shared" si="26"/>
        <v>0.70200000000000007</v>
      </c>
      <c r="L390" s="111"/>
      <c r="M390" s="111"/>
      <c r="N390" s="111"/>
      <c r="O390" s="111"/>
    </row>
    <row r="391" spans="2:15" x14ac:dyDescent="0.3">
      <c r="B391" s="114"/>
      <c r="C391" s="233" t="s">
        <v>798</v>
      </c>
      <c r="D391" s="234" t="s">
        <v>0</v>
      </c>
      <c r="E391" s="235">
        <v>1</v>
      </c>
      <c r="F391" s="236">
        <f>0.25+0.2+0.2</f>
        <v>0.65</v>
      </c>
      <c r="G391" s="236"/>
      <c r="H391" s="236">
        <v>2.1</v>
      </c>
      <c r="I391" s="235">
        <v>1</v>
      </c>
      <c r="J391" s="237"/>
      <c r="K391" s="237">
        <f t="shared" si="26"/>
        <v>1.3650000000000002</v>
      </c>
      <c r="L391" s="111"/>
      <c r="M391" s="111"/>
      <c r="N391" s="111"/>
      <c r="O391" s="111"/>
    </row>
    <row r="392" spans="2:15" x14ac:dyDescent="0.3">
      <c r="B392" s="114"/>
      <c r="C392" s="233" t="s">
        <v>799</v>
      </c>
      <c r="D392" s="234" t="s">
        <v>0</v>
      </c>
      <c r="E392" s="235">
        <v>1</v>
      </c>
      <c r="F392" s="236">
        <f>0.25+0.2+0.2</f>
        <v>0.65</v>
      </c>
      <c r="G392" s="236"/>
      <c r="H392" s="236">
        <v>1.2</v>
      </c>
      <c r="I392" s="235">
        <v>1</v>
      </c>
      <c r="J392" s="237"/>
      <c r="K392" s="237">
        <f t="shared" si="26"/>
        <v>0.78</v>
      </c>
      <c r="L392" s="111"/>
      <c r="M392" s="111"/>
      <c r="N392" s="111"/>
      <c r="O392" s="111"/>
    </row>
    <row r="393" spans="2:15" x14ac:dyDescent="0.3">
      <c r="B393" s="114"/>
      <c r="C393" s="233"/>
      <c r="D393" s="234" t="s">
        <v>0</v>
      </c>
      <c r="E393" s="235">
        <v>1</v>
      </c>
      <c r="F393" s="236">
        <f>0.1+0.2+0.2</f>
        <v>0.5</v>
      </c>
      <c r="G393" s="236"/>
      <c r="H393" s="236">
        <v>4.49</v>
      </c>
      <c r="I393" s="235">
        <v>1</v>
      </c>
      <c r="J393" s="237"/>
      <c r="K393" s="237">
        <f t="shared" si="26"/>
        <v>2.2450000000000001</v>
      </c>
      <c r="L393" s="111"/>
      <c r="M393" s="111"/>
      <c r="N393" s="111"/>
      <c r="O393" s="111"/>
    </row>
    <row r="394" spans="2:15" x14ac:dyDescent="0.3">
      <c r="B394" s="114"/>
      <c r="C394" s="233" t="s">
        <v>800</v>
      </c>
      <c r="D394" s="234" t="s">
        <v>0</v>
      </c>
      <c r="E394" s="235">
        <v>1</v>
      </c>
      <c r="F394" s="236">
        <f>0.25+0.2</f>
        <v>0.45</v>
      </c>
      <c r="G394" s="236"/>
      <c r="H394" s="236">
        <v>3.78</v>
      </c>
      <c r="I394" s="235">
        <v>1</v>
      </c>
      <c r="J394" s="237"/>
      <c r="K394" s="237">
        <f t="shared" si="26"/>
        <v>1.7009999999999998</v>
      </c>
      <c r="L394" s="111"/>
      <c r="M394" s="111"/>
      <c r="N394" s="111"/>
      <c r="O394" s="111"/>
    </row>
    <row r="395" spans="2:15" x14ac:dyDescent="0.3">
      <c r="B395" s="114"/>
      <c r="C395" s="233" t="s">
        <v>801</v>
      </c>
      <c r="D395" s="234" t="s">
        <v>0</v>
      </c>
      <c r="E395" s="235">
        <v>1</v>
      </c>
      <c r="F395" s="236">
        <f>0.25+0.2+0.2</f>
        <v>0.65</v>
      </c>
      <c r="G395" s="236"/>
      <c r="H395" s="236">
        <f>1.5+2.28</f>
        <v>3.78</v>
      </c>
      <c r="I395" s="235">
        <v>1</v>
      </c>
      <c r="J395" s="237"/>
      <c r="K395" s="237">
        <f t="shared" si="26"/>
        <v>2.4569999999999999</v>
      </c>
      <c r="L395" s="111"/>
      <c r="M395" s="111"/>
      <c r="N395" s="111"/>
      <c r="O395" s="111"/>
    </row>
    <row r="396" spans="2:15" x14ac:dyDescent="0.3">
      <c r="B396" s="114"/>
      <c r="C396" s="233" t="s">
        <v>802</v>
      </c>
      <c r="D396" s="234" t="s">
        <v>0</v>
      </c>
      <c r="E396" s="235">
        <v>1</v>
      </c>
      <c r="F396" s="236">
        <f>0.1+0.2</f>
        <v>0.30000000000000004</v>
      </c>
      <c r="G396" s="236"/>
      <c r="H396" s="236">
        <v>2.2799999999999998</v>
      </c>
      <c r="I396" s="235">
        <v>1</v>
      </c>
      <c r="J396" s="237"/>
      <c r="K396" s="237">
        <f t="shared" si="26"/>
        <v>0.68400000000000005</v>
      </c>
      <c r="L396" s="111"/>
      <c r="M396" s="111"/>
      <c r="N396" s="111"/>
      <c r="O396" s="111"/>
    </row>
    <row r="397" spans="2:15" x14ac:dyDescent="0.3">
      <c r="B397" s="114"/>
      <c r="C397" s="280"/>
      <c r="D397" s="234" t="s">
        <v>0</v>
      </c>
      <c r="E397" s="235">
        <v>1</v>
      </c>
      <c r="F397" s="236">
        <f>0.25+0.2</f>
        <v>0.45</v>
      </c>
      <c r="G397" s="236"/>
      <c r="H397" s="236">
        <v>1.5</v>
      </c>
      <c r="I397" s="235">
        <v>1</v>
      </c>
      <c r="J397" s="237"/>
      <c r="K397" s="237">
        <f t="shared" si="26"/>
        <v>0.67500000000000004</v>
      </c>
      <c r="L397" s="111"/>
      <c r="M397" s="111"/>
      <c r="N397" s="111"/>
      <c r="O397" s="111"/>
    </row>
    <row r="398" spans="2:15" x14ac:dyDescent="0.3">
      <c r="B398" s="114"/>
      <c r="C398" s="233" t="s">
        <v>803</v>
      </c>
      <c r="D398" s="234" t="s">
        <v>0</v>
      </c>
      <c r="E398" s="235">
        <v>1</v>
      </c>
      <c r="F398" s="236">
        <f>0.25+0.2+0.2</f>
        <v>0.65</v>
      </c>
      <c r="G398" s="236"/>
      <c r="H398" s="236">
        <v>2.2000000000000002</v>
      </c>
      <c r="I398" s="235">
        <v>1</v>
      </c>
      <c r="J398" s="237"/>
      <c r="K398" s="237">
        <f t="shared" si="26"/>
        <v>1.4300000000000002</v>
      </c>
      <c r="L398" s="111"/>
      <c r="M398" s="111"/>
      <c r="N398" s="111"/>
      <c r="O398" s="111"/>
    </row>
    <row r="399" spans="2:15" x14ac:dyDescent="0.3">
      <c r="B399" s="114"/>
      <c r="C399" s="233" t="s">
        <v>804</v>
      </c>
      <c r="D399" s="234" t="s">
        <v>0</v>
      </c>
      <c r="E399" s="235">
        <v>1</v>
      </c>
      <c r="F399" s="236">
        <f>0.25+0.2+0.2</f>
        <v>0.65</v>
      </c>
      <c r="G399" s="236"/>
      <c r="H399" s="236">
        <v>5.69</v>
      </c>
      <c r="I399" s="235">
        <v>1</v>
      </c>
      <c r="J399" s="237"/>
      <c r="K399" s="237">
        <f t="shared" si="26"/>
        <v>3.6985000000000006</v>
      </c>
      <c r="L399" s="111"/>
      <c r="M399" s="111"/>
      <c r="N399" s="111"/>
      <c r="O399" s="111"/>
    </row>
    <row r="400" spans="2:15" x14ac:dyDescent="0.3">
      <c r="B400" s="114"/>
      <c r="C400" s="233" t="s">
        <v>805</v>
      </c>
      <c r="D400" s="234" t="s">
        <v>0</v>
      </c>
      <c r="E400" s="235">
        <v>1</v>
      </c>
      <c r="F400" s="236">
        <f>0.25+0.2</f>
        <v>0.45</v>
      </c>
      <c r="G400" s="236"/>
      <c r="H400" s="236">
        <v>4.3600000000000003</v>
      </c>
      <c r="I400" s="235">
        <v>1</v>
      </c>
      <c r="J400" s="237"/>
      <c r="K400" s="237">
        <f t="shared" si="26"/>
        <v>1.9620000000000002</v>
      </c>
      <c r="L400" s="111"/>
      <c r="M400" s="111"/>
      <c r="N400" s="111"/>
      <c r="O400" s="111"/>
    </row>
    <row r="401" spans="2:15" x14ac:dyDescent="0.3">
      <c r="B401" s="114"/>
      <c r="C401" s="233" t="s">
        <v>806</v>
      </c>
      <c r="D401" s="234" t="s">
        <v>0</v>
      </c>
      <c r="E401" s="235">
        <v>1</v>
      </c>
      <c r="F401" s="236">
        <f>0.25+0.2+0.2</f>
        <v>0.65</v>
      </c>
      <c r="G401" s="236"/>
      <c r="H401" s="236">
        <f>1.63+1.53</f>
        <v>3.16</v>
      </c>
      <c r="I401" s="235">
        <v>1</v>
      </c>
      <c r="J401" s="237"/>
      <c r="K401" s="237">
        <f t="shared" si="26"/>
        <v>2.0540000000000003</v>
      </c>
      <c r="L401" s="111"/>
      <c r="M401" s="111"/>
      <c r="N401" s="111"/>
      <c r="O401" s="111"/>
    </row>
    <row r="402" spans="2:15" x14ac:dyDescent="0.3">
      <c r="B402" s="114"/>
      <c r="C402" s="233" t="s">
        <v>807</v>
      </c>
      <c r="D402" s="234" t="s">
        <v>0</v>
      </c>
      <c r="E402" s="235">
        <v>1</v>
      </c>
      <c r="F402" s="236">
        <f>0.1+0.2</f>
        <v>0.30000000000000004</v>
      </c>
      <c r="G402" s="236"/>
      <c r="H402" s="236">
        <v>1.63</v>
      </c>
      <c r="I402" s="235">
        <v>1</v>
      </c>
      <c r="J402" s="237"/>
      <c r="K402" s="237">
        <f t="shared" si="26"/>
        <v>0.48900000000000005</v>
      </c>
      <c r="L402" s="111"/>
      <c r="M402" s="111"/>
      <c r="N402" s="111"/>
      <c r="O402" s="111"/>
    </row>
    <row r="403" spans="2:15" x14ac:dyDescent="0.3">
      <c r="B403" s="114"/>
      <c r="C403" s="280"/>
      <c r="D403" s="234" t="s">
        <v>0</v>
      </c>
      <c r="E403" s="235">
        <v>1</v>
      </c>
      <c r="F403" s="236">
        <f>0.25+0.2</f>
        <v>0.45</v>
      </c>
      <c r="G403" s="236"/>
      <c r="H403" s="236">
        <v>1.53</v>
      </c>
      <c r="I403" s="235">
        <v>1</v>
      </c>
      <c r="J403" s="237"/>
      <c r="K403" s="237">
        <f t="shared" si="26"/>
        <v>0.6885</v>
      </c>
      <c r="L403" s="111"/>
      <c r="M403" s="111"/>
      <c r="N403" s="111"/>
      <c r="O403" s="111"/>
    </row>
    <row r="404" spans="2:15" x14ac:dyDescent="0.3">
      <c r="B404" s="114"/>
      <c r="C404" s="233" t="s">
        <v>808</v>
      </c>
      <c r="D404" s="234" t="s">
        <v>0</v>
      </c>
      <c r="E404" s="235">
        <v>1</v>
      </c>
      <c r="F404" s="236">
        <f>0.25+0.2+0.2</f>
        <v>0.65</v>
      </c>
      <c r="G404" s="236"/>
      <c r="H404" s="236">
        <v>2.2000000000000002</v>
      </c>
      <c r="I404" s="235">
        <v>1</v>
      </c>
      <c r="J404" s="237"/>
      <c r="K404" s="237">
        <f t="shared" si="26"/>
        <v>1.4300000000000002</v>
      </c>
      <c r="L404" s="111"/>
      <c r="M404" s="111"/>
      <c r="N404" s="111"/>
      <c r="O404" s="111"/>
    </row>
    <row r="405" spans="2:15" x14ac:dyDescent="0.3">
      <c r="B405" s="114"/>
      <c r="C405" s="233" t="s">
        <v>809</v>
      </c>
      <c r="D405" s="234" t="s">
        <v>0</v>
      </c>
      <c r="E405" s="235">
        <v>1</v>
      </c>
      <c r="F405" s="236">
        <f>0.25+0.2+0.2</f>
        <v>0.65</v>
      </c>
      <c r="G405" s="236"/>
      <c r="H405" s="236">
        <v>5.69</v>
      </c>
      <c r="I405" s="235">
        <v>1</v>
      </c>
      <c r="J405" s="237"/>
      <c r="K405" s="237">
        <f t="shared" si="26"/>
        <v>3.6985000000000006</v>
      </c>
      <c r="L405" s="111"/>
      <c r="M405" s="111"/>
      <c r="N405" s="111"/>
      <c r="O405" s="111"/>
    </row>
    <row r="406" spans="2:15" x14ac:dyDescent="0.3">
      <c r="B406" s="114"/>
      <c r="C406" s="233" t="s">
        <v>805</v>
      </c>
      <c r="D406" s="234" t="s">
        <v>0</v>
      </c>
      <c r="E406" s="235">
        <v>1</v>
      </c>
      <c r="F406" s="236">
        <f>0.25+0.2</f>
        <v>0.45</v>
      </c>
      <c r="G406" s="236"/>
      <c r="H406" s="236">
        <v>3.81</v>
      </c>
      <c r="I406" s="235">
        <v>1</v>
      </c>
      <c r="J406" s="237"/>
      <c r="K406" s="237">
        <f t="shared" si="26"/>
        <v>1.7145000000000001</v>
      </c>
      <c r="L406" s="111"/>
      <c r="M406" s="111"/>
      <c r="N406" s="111"/>
      <c r="O406" s="111"/>
    </row>
    <row r="407" spans="2:15" x14ac:dyDescent="0.3">
      <c r="B407" s="114"/>
      <c r="C407" s="233" t="s">
        <v>806</v>
      </c>
      <c r="D407" s="234" t="s">
        <v>0</v>
      </c>
      <c r="E407" s="235">
        <v>1</v>
      </c>
      <c r="F407" s="236">
        <f>0.25+0.2+0.2</f>
        <v>0.65</v>
      </c>
      <c r="G407" s="236"/>
      <c r="H407" s="236">
        <f>2.3+1.5</f>
        <v>3.8</v>
      </c>
      <c r="I407" s="235">
        <v>1</v>
      </c>
      <c r="J407" s="237"/>
      <c r="K407" s="237">
        <f t="shared" si="26"/>
        <v>2.4699999999999998</v>
      </c>
      <c r="L407" s="111"/>
      <c r="M407" s="111"/>
      <c r="N407" s="111"/>
      <c r="O407" s="111"/>
    </row>
    <row r="408" spans="2:15" x14ac:dyDescent="0.3">
      <c r="B408" s="114"/>
      <c r="C408" s="233" t="s">
        <v>807</v>
      </c>
      <c r="D408" s="234" t="s">
        <v>0</v>
      </c>
      <c r="E408" s="235">
        <v>1</v>
      </c>
      <c r="F408" s="236">
        <f>0.1+0.2</f>
        <v>0.30000000000000004</v>
      </c>
      <c r="G408" s="236"/>
      <c r="H408" s="236">
        <v>2.2999999999999998</v>
      </c>
      <c r="I408" s="235">
        <v>1</v>
      </c>
      <c r="J408" s="237"/>
      <c r="K408" s="237">
        <f t="shared" si="26"/>
        <v>0.69000000000000006</v>
      </c>
      <c r="L408" s="111"/>
      <c r="M408" s="111"/>
      <c r="N408" s="111"/>
      <c r="O408" s="111"/>
    </row>
    <row r="409" spans="2:15" x14ac:dyDescent="0.3">
      <c r="B409" s="114"/>
      <c r="C409" s="280"/>
      <c r="D409" s="234" t="s">
        <v>0</v>
      </c>
      <c r="E409" s="235">
        <v>1</v>
      </c>
      <c r="F409" s="236">
        <f>0.25+0.2</f>
        <v>0.45</v>
      </c>
      <c r="G409" s="236"/>
      <c r="H409" s="236">
        <v>1.5</v>
      </c>
      <c r="I409" s="235">
        <v>1</v>
      </c>
      <c r="J409" s="237"/>
      <c r="K409" s="237">
        <f t="shared" si="26"/>
        <v>0.67500000000000004</v>
      </c>
      <c r="L409" s="111"/>
      <c r="M409" s="111"/>
      <c r="N409" s="111"/>
      <c r="O409" s="111"/>
    </row>
    <row r="410" spans="2:15" x14ac:dyDescent="0.3">
      <c r="B410" s="114"/>
      <c r="C410" s="233" t="s">
        <v>810</v>
      </c>
      <c r="D410" s="234" t="s">
        <v>0</v>
      </c>
      <c r="E410" s="235">
        <v>1</v>
      </c>
      <c r="F410" s="236">
        <f>0.25+0.2+0.2</f>
        <v>0.65</v>
      </c>
      <c r="G410" s="236"/>
      <c r="H410" s="236">
        <v>2.2000000000000002</v>
      </c>
      <c r="I410" s="235">
        <v>1</v>
      </c>
      <c r="J410" s="237"/>
      <c r="K410" s="237">
        <f t="shared" si="26"/>
        <v>1.4300000000000002</v>
      </c>
      <c r="L410" s="111"/>
      <c r="M410" s="111"/>
      <c r="N410" s="111"/>
      <c r="O410" s="111"/>
    </row>
    <row r="411" spans="2:15" x14ac:dyDescent="0.3">
      <c r="B411" s="114"/>
      <c r="C411" s="233" t="s">
        <v>811</v>
      </c>
      <c r="D411" s="234" t="s">
        <v>0</v>
      </c>
      <c r="E411" s="235">
        <v>1</v>
      </c>
      <c r="F411" s="236">
        <f>0.1+0.2+0.2</f>
        <v>0.5</v>
      </c>
      <c r="G411" s="236"/>
      <c r="H411" s="236">
        <v>5.69</v>
      </c>
      <c r="I411" s="235">
        <v>1</v>
      </c>
      <c r="J411" s="237"/>
      <c r="K411" s="237">
        <f t="shared" si="26"/>
        <v>2.8450000000000002</v>
      </c>
      <c r="L411" s="111"/>
      <c r="M411" s="111"/>
      <c r="N411" s="111"/>
      <c r="O411" s="111"/>
    </row>
    <row r="412" spans="2:15" x14ac:dyDescent="0.3">
      <c r="B412" s="114"/>
      <c r="C412" s="233" t="s">
        <v>812</v>
      </c>
      <c r="D412" s="234" t="s">
        <v>0</v>
      </c>
      <c r="E412" s="235">
        <v>1</v>
      </c>
      <c r="F412" s="236">
        <f>0.25+0.2</f>
        <v>0.45</v>
      </c>
      <c r="G412" s="236"/>
      <c r="H412" s="236">
        <v>3.7</v>
      </c>
      <c r="I412" s="235">
        <v>1</v>
      </c>
      <c r="J412" s="237"/>
      <c r="K412" s="237">
        <f t="shared" si="26"/>
        <v>1.665</v>
      </c>
      <c r="L412" s="111"/>
      <c r="M412" s="111"/>
      <c r="N412" s="111"/>
      <c r="O412" s="111"/>
    </row>
    <row r="413" spans="2:15" x14ac:dyDescent="0.3">
      <c r="B413" s="114"/>
      <c r="C413" s="233" t="s">
        <v>813</v>
      </c>
      <c r="D413" s="234" t="s">
        <v>0</v>
      </c>
      <c r="E413" s="235">
        <v>1</v>
      </c>
      <c r="F413" s="236">
        <f>0.25+0.2+0.2</f>
        <v>0.65</v>
      </c>
      <c r="G413" s="236"/>
      <c r="H413" s="236">
        <v>2.5</v>
      </c>
      <c r="I413" s="235">
        <v>1</v>
      </c>
      <c r="J413" s="237"/>
      <c r="K413" s="237">
        <f t="shared" si="26"/>
        <v>1.625</v>
      </c>
      <c r="L413" s="111"/>
      <c r="M413" s="111"/>
      <c r="N413" s="111"/>
      <c r="O413" s="111"/>
    </row>
    <row r="414" spans="2:15" x14ac:dyDescent="0.3">
      <c r="B414" s="114"/>
      <c r="C414" s="233" t="s">
        <v>814</v>
      </c>
      <c r="D414" s="234" t="s">
        <v>0</v>
      </c>
      <c r="E414" s="235">
        <v>1</v>
      </c>
      <c r="F414" s="236">
        <f>0.1+0.2</f>
        <v>0.30000000000000004</v>
      </c>
      <c r="G414" s="236"/>
      <c r="H414" s="236">
        <v>2.5</v>
      </c>
      <c r="I414" s="235">
        <v>1</v>
      </c>
      <c r="J414" s="237"/>
      <c r="K414" s="237">
        <f t="shared" si="26"/>
        <v>0.75000000000000011</v>
      </c>
      <c r="L414" s="111"/>
      <c r="M414" s="111"/>
      <c r="N414" s="111"/>
      <c r="O414" s="111"/>
    </row>
    <row r="415" spans="2:15" x14ac:dyDescent="0.3">
      <c r="B415" s="114"/>
      <c r="C415" s="233" t="s">
        <v>815</v>
      </c>
      <c r="D415" s="234" t="s">
        <v>0</v>
      </c>
      <c r="E415" s="235">
        <v>1</v>
      </c>
      <c r="F415" s="236">
        <f>0.25+0.2</f>
        <v>0.45</v>
      </c>
      <c r="G415" s="236"/>
      <c r="H415" s="236">
        <v>2.2000000000000002</v>
      </c>
      <c r="I415" s="235">
        <v>1</v>
      </c>
      <c r="J415" s="237"/>
      <c r="K415" s="237">
        <f t="shared" si="26"/>
        <v>0.9900000000000001</v>
      </c>
      <c r="L415" s="111"/>
      <c r="M415" s="111"/>
      <c r="N415" s="111"/>
      <c r="O415" s="111"/>
    </row>
    <row r="416" spans="2:15" x14ac:dyDescent="0.3">
      <c r="B416" s="114"/>
      <c r="C416" s="233" t="s">
        <v>816</v>
      </c>
      <c r="D416" s="234" t="s">
        <v>0</v>
      </c>
      <c r="E416" s="235">
        <v>1</v>
      </c>
      <c r="F416" s="236">
        <f>0.2</f>
        <v>0.2</v>
      </c>
      <c r="G416" s="236"/>
      <c r="H416" s="236">
        <v>1.66</v>
      </c>
      <c r="I416" s="235">
        <v>1</v>
      </c>
      <c r="J416" s="237"/>
      <c r="K416" s="237">
        <f t="shared" si="26"/>
        <v>0.33200000000000002</v>
      </c>
      <c r="L416" s="111"/>
      <c r="M416" s="111"/>
      <c r="N416" s="111"/>
      <c r="O416" s="111"/>
    </row>
    <row r="417" spans="2:15" x14ac:dyDescent="0.3">
      <c r="B417" s="114"/>
      <c r="C417" s="233" t="s">
        <v>817</v>
      </c>
      <c r="D417" s="234" t="s">
        <v>0</v>
      </c>
      <c r="E417" s="235">
        <v>1</v>
      </c>
      <c r="F417" s="236">
        <v>0.2</v>
      </c>
      <c r="G417" s="236"/>
      <c r="H417" s="236">
        <v>1.63</v>
      </c>
      <c r="I417" s="235">
        <v>1</v>
      </c>
      <c r="J417" s="237"/>
      <c r="K417" s="237">
        <f t="shared" si="26"/>
        <v>0.32600000000000001</v>
      </c>
      <c r="L417" s="111"/>
      <c r="M417" s="111"/>
      <c r="N417" s="111"/>
      <c r="O417" s="111"/>
    </row>
    <row r="418" spans="2:15" x14ac:dyDescent="0.3">
      <c r="B418" s="114"/>
      <c r="C418" s="115" t="s">
        <v>68</v>
      </c>
      <c r="D418" s="121"/>
      <c r="E418" s="3"/>
      <c r="F418" s="122" t="s">
        <v>198</v>
      </c>
      <c r="G418" s="122"/>
      <c r="H418" s="122"/>
      <c r="I418" s="3"/>
      <c r="J418" s="113"/>
      <c r="K418" s="113"/>
      <c r="L418" s="111"/>
      <c r="M418" s="111"/>
      <c r="N418" s="111"/>
      <c r="O418" s="111"/>
    </row>
    <row r="419" spans="2:15" x14ac:dyDescent="0.3">
      <c r="B419" s="114"/>
      <c r="C419" s="233" t="s">
        <v>774</v>
      </c>
      <c r="D419" s="234" t="s">
        <v>0</v>
      </c>
      <c r="E419" s="235">
        <v>1</v>
      </c>
      <c r="F419" s="236">
        <f>0.1+0.4</f>
        <v>0.5</v>
      </c>
      <c r="G419" s="236"/>
      <c r="H419" s="236">
        <v>3.29</v>
      </c>
      <c r="I419" s="235">
        <v>1</v>
      </c>
      <c r="J419" s="237"/>
      <c r="K419" s="237">
        <f t="shared" ref="K419:K478" si="27">IF(E419="","",PRODUCT(E419:I419))</f>
        <v>1.645</v>
      </c>
      <c r="L419" s="111"/>
      <c r="M419" s="111"/>
      <c r="N419" s="111"/>
      <c r="O419" s="111"/>
    </row>
    <row r="420" spans="2:15" x14ac:dyDescent="0.3">
      <c r="B420" s="114"/>
      <c r="C420" s="233" t="s">
        <v>717</v>
      </c>
      <c r="D420" s="234" t="s">
        <v>0</v>
      </c>
      <c r="E420" s="235">
        <v>1</v>
      </c>
      <c r="F420" s="236">
        <f>0.1+0.2</f>
        <v>0.30000000000000004</v>
      </c>
      <c r="G420" s="236"/>
      <c r="H420" s="236">
        <v>2.2000000000000002</v>
      </c>
      <c r="I420" s="235">
        <v>1</v>
      </c>
      <c r="J420" s="237"/>
      <c r="K420" s="237">
        <f t="shared" si="27"/>
        <v>0.66000000000000014</v>
      </c>
      <c r="L420" s="111"/>
      <c r="M420" s="111"/>
      <c r="N420" s="111"/>
      <c r="O420" s="111"/>
    </row>
    <row r="421" spans="2:15" x14ac:dyDescent="0.3">
      <c r="B421" s="114"/>
      <c r="C421" s="233" t="s">
        <v>775</v>
      </c>
      <c r="D421" s="234" t="s">
        <v>0</v>
      </c>
      <c r="E421" s="235">
        <v>1</v>
      </c>
      <c r="F421" s="236">
        <f>0.25+0.2</f>
        <v>0.45</v>
      </c>
      <c r="G421" s="236"/>
      <c r="H421" s="236">
        <f>2.83+1</f>
        <v>3.83</v>
      </c>
      <c r="I421" s="235">
        <v>1</v>
      </c>
      <c r="J421" s="237"/>
      <c r="K421" s="237">
        <f t="shared" si="27"/>
        <v>1.7235</v>
      </c>
      <c r="L421" s="111"/>
      <c r="M421" s="111"/>
      <c r="N421" s="111"/>
      <c r="O421" s="111"/>
    </row>
    <row r="422" spans="2:15" x14ac:dyDescent="0.3">
      <c r="B422" s="114"/>
      <c r="C422" s="233" t="s">
        <v>776</v>
      </c>
      <c r="D422" s="234" t="s">
        <v>0</v>
      </c>
      <c r="E422" s="235">
        <v>1</v>
      </c>
      <c r="F422" s="236">
        <f>0.25+0.2+0.2</f>
        <v>0.65</v>
      </c>
      <c r="G422" s="236"/>
      <c r="H422" s="236">
        <v>2.63</v>
      </c>
      <c r="I422" s="235">
        <v>1</v>
      </c>
      <c r="J422" s="237"/>
      <c r="K422" s="237">
        <f t="shared" si="27"/>
        <v>1.7095</v>
      </c>
      <c r="L422" s="111"/>
      <c r="M422" s="111"/>
      <c r="N422" s="111"/>
      <c r="O422" s="111"/>
    </row>
    <row r="423" spans="2:15" x14ac:dyDescent="0.3">
      <c r="B423" s="114"/>
      <c r="C423" s="233" t="s">
        <v>777</v>
      </c>
      <c r="D423" s="234" t="s">
        <v>0</v>
      </c>
      <c r="E423" s="235">
        <v>1</v>
      </c>
      <c r="F423" s="236">
        <f>0.25+0.2</f>
        <v>0.45</v>
      </c>
      <c r="G423" s="236"/>
      <c r="H423" s="236">
        <v>2.63</v>
      </c>
      <c r="I423" s="235">
        <v>1</v>
      </c>
      <c r="J423" s="237"/>
      <c r="K423" s="237">
        <f t="shared" si="27"/>
        <v>1.1835</v>
      </c>
      <c r="L423" s="111"/>
      <c r="M423" s="111"/>
      <c r="N423" s="111"/>
      <c r="O423" s="111"/>
    </row>
    <row r="424" spans="2:15" x14ac:dyDescent="0.3">
      <c r="B424" s="114"/>
      <c r="C424" s="233" t="s">
        <v>778</v>
      </c>
      <c r="D424" s="234" t="s">
        <v>0</v>
      </c>
      <c r="E424" s="235">
        <v>1</v>
      </c>
      <c r="F424" s="236">
        <f>0.2+0.15</f>
        <v>0.35</v>
      </c>
      <c r="G424" s="236"/>
      <c r="H424" s="236">
        <v>5.45</v>
      </c>
      <c r="I424" s="235">
        <v>1</v>
      </c>
      <c r="J424" s="237"/>
      <c r="K424" s="237">
        <f t="shared" si="27"/>
        <v>1.9075</v>
      </c>
      <c r="L424" s="111"/>
      <c r="M424" s="111"/>
      <c r="N424" s="111"/>
      <c r="O424" s="111"/>
    </row>
    <row r="425" spans="2:15" x14ac:dyDescent="0.3">
      <c r="B425" s="114"/>
      <c r="C425" s="233" t="s">
        <v>779</v>
      </c>
      <c r="D425" s="234" t="s">
        <v>0</v>
      </c>
      <c r="E425" s="235">
        <v>1</v>
      </c>
      <c r="F425" s="236">
        <f>0.25+0.2+0.2</f>
        <v>0.65</v>
      </c>
      <c r="G425" s="236"/>
      <c r="H425" s="236">
        <v>4.25</v>
      </c>
      <c r="I425" s="235">
        <v>1</v>
      </c>
      <c r="J425" s="237"/>
      <c r="K425" s="237">
        <f t="shared" si="27"/>
        <v>2.7625000000000002</v>
      </c>
      <c r="L425" s="111"/>
      <c r="M425" s="111"/>
      <c r="N425" s="111"/>
      <c r="O425" s="111"/>
    </row>
    <row r="426" spans="2:15" x14ac:dyDescent="0.3">
      <c r="B426" s="114"/>
      <c r="C426" s="233" t="s">
        <v>780</v>
      </c>
      <c r="D426" s="234" t="s">
        <v>0</v>
      </c>
      <c r="E426" s="235">
        <v>1</v>
      </c>
      <c r="F426" s="236">
        <f>0.1+0.2</f>
        <v>0.30000000000000004</v>
      </c>
      <c r="G426" s="236"/>
      <c r="H426" s="236">
        <v>4.25</v>
      </c>
      <c r="I426" s="235">
        <v>1</v>
      </c>
      <c r="J426" s="237"/>
      <c r="K426" s="237">
        <f t="shared" si="27"/>
        <v>1.2750000000000001</v>
      </c>
      <c r="L426" s="111"/>
      <c r="M426" s="111"/>
      <c r="N426" s="111"/>
      <c r="O426" s="111"/>
    </row>
    <row r="427" spans="2:15" x14ac:dyDescent="0.3">
      <c r="B427" s="114"/>
      <c r="C427" s="233" t="s">
        <v>781</v>
      </c>
      <c r="D427" s="234" t="s">
        <v>0</v>
      </c>
      <c r="E427" s="235">
        <v>1</v>
      </c>
      <c r="F427" s="236">
        <f>0.1+0.2+0.2</f>
        <v>0.5</v>
      </c>
      <c r="G427" s="236"/>
      <c r="H427" s="236">
        <v>2.2000000000000002</v>
      </c>
      <c r="I427" s="235">
        <v>1</v>
      </c>
      <c r="J427" s="237"/>
      <c r="K427" s="237">
        <f t="shared" si="27"/>
        <v>1.1000000000000001</v>
      </c>
      <c r="L427" s="111"/>
      <c r="M427" s="111"/>
      <c r="N427" s="111"/>
      <c r="O427" s="111"/>
    </row>
    <row r="428" spans="2:15" x14ac:dyDescent="0.3">
      <c r="B428" s="114"/>
      <c r="C428" s="233" t="s">
        <v>782</v>
      </c>
      <c r="D428" s="234" t="s">
        <v>0</v>
      </c>
      <c r="E428" s="235">
        <v>1</v>
      </c>
      <c r="F428" s="236">
        <f>0.1+0.2+0.2</f>
        <v>0.5</v>
      </c>
      <c r="G428" s="236"/>
      <c r="H428" s="236">
        <v>5.63</v>
      </c>
      <c r="I428" s="235">
        <v>1</v>
      </c>
      <c r="J428" s="237"/>
      <c r="K428" s="237">
        <f t="shared" si="27"/>
        <v>2.8149999999999999</v>
      </c>
      <c r="L428" s="111"/>
      <c r="M428" s="111"/>
      <c r="N428" s="111"/>
      <c r="O428" s="111"/>
    </row>
    <row r="429" spans="2:15" x14ac:dyDescent="0.3">
      <c r="B429" s="114"/>
      <c r="C429" s="233" t="s">
        <v>783</v>
      </c>
      <c r="D429" s="234" t="s">
        <v>0</v>
      </c>
      <c r="E429" s="235">
        <v>1</v>
      </c>
      <c r="F429" s="236">
        <f>0.25+0.2+0.2</f>
        <v>0.65</v>
      </c>
      <c r="G429" s="236"/>
      <c r="H429" s="236">
        <v>1.2</v>
      </c>
      <c r="I429" s="235">
        <v>1</v>
      </c>
      <c r="J429" s="237"/>
      <c r="K429" s="237">
        <f t="shared" si="27"/>
        <v>0.78</v>
      </c>
      <c r="L429" s="111"/>
      <c r="M429" s="111"/>
      <c r="N429" s="111"/>
      <c r="O429" s="111"/>
    </row>
    <row r="430" spans="2:15" x14ac:dyDescent="0.3">
      <c r="B430" s="114"/>
      <c r="C430" s="233"/>
      <c r="D430" s="234" t="s">
        <v>0</v>
      </c>
      <c r="E430" s="235">
        <v>1</v>
      </c>
      <c r="F430" s="236">
        <f>0.1+0.2+0.2</f>
        <v>0.5</v>
      </c>
      <c r="G430" s="236"/>
      <c r="H430" s="236">
        <v>1</v>
      </c>
      <c r="I430" s="235">
        <v>1</v>
      </c>
      <c r="J430" s="237"/>
      <c r="K430" s="237">
        <f t="shared" si="27"/>
        <v>0.5</v>
      </c>
      <c r="L430" s="111"/>
      <c r="M430" s="111"/>
      <c r="N430" s="111"/>
      <c r="O430" s="111"/>
    </row>
    <row r="431" spans="2:15" x14ac:dyDescent="0.3">
      <c r="B431" s="114"/>
      <c r="C431" s="233" t="s">
        <v>784</v>
      </c>
      <c r="D431" s="234" t="s">
        <v>0</v>
      </c>
      <c r="E431" s="235">
        <v>1</v>
      </c>
      <c r="F431" s="236">
        <f>0.1+0.2+0.2</f>
        <v>0.5</v>
      </c>
      <c r="G431" s="236"/>
      <c r="H431" s="236">
        <v>5.69</v>
      </c>
      <c r="I431" s="235">
        <v>1</v>
      </c>
      <c r="J431" s="237"/>
      <c r="K431" s="237">
        <f t="shared" si="27"/>
        <v>2.8450000000000002</v>
      </c>
      <c r="L431" s="111"/>
      <c r="M431" s="111"/>
      <c r="N431" s="111"/>
      <c r="O431" s="111"/>
    </row>
    <row r="432" spans="2:15" x14ac:dyDescent="0.3">
      <c r="B432" s="114"/>
      <c r="C432" s="233" t="s">
        <v>785</v>
      </c>
      <c r="D432" s="234" t="s">
        <v>0</v>
      </c>
      <c r="E432" s="235">
        <v>1</v>
      </c>
      <c r="F432" s="236">
        <f>0.25+0.2</f>
        <v>0.45</v>
      </c>
      <c r="G432" s="236"/>
      <c r="H432" s="236">
        <v>4.3499999999999996</v>
      </c>
      <c r="I432" s="235">
        <v>1</v>
      </c>
      <c r="J432" s="237"/>
      <c r="K432" s="237">
        <f t="shared" si="27"/>
        <v>1.9574999999999998</v>
      </c>
      <c r="L432" s="111"/>
      <c r="M432" s="111"/>
      <c r="N432" s="111"/>
      <c r="O432" s="111"/>
    </row>
    <row r="433" spans="2:15" x14ac:dyDescent="0.3">
      <c r="B433" s="114"/>
      <c r="C433" s="233" t="s">
        <v>786</v>
      </c>
      <c r="D433" s="234" t="s">
        <v>0</v>
      </c>
      <c r="E433" s="235">
        <v>1</v>
      </c>
      <c r="F433" s="236">
        <f>0.25+0.2+0.2</f>
        <v>0.65</v>
      </c>
      <c r="G433" s="236"/>
      <c r="H433" s="236">
        <v>3.84</v>
      </c>
      <c r="I433" s="235">
        <v>1</v>
      </c>
      <c r="J433" s="237"/>
      <c r="K433" s="237">
        <f t="shared" si="27"/>
        <v>2.496</v>
      </c>
      <c r="L433" s="111"/>
      <c r="M433" s="111"/>
      <c r="N433" s="111"/>
      <c r="O433" s="111"/>
    </row>
    <row r="434" spans="2:15" x14ac:dyDescent="0.3">
      <c r="B434" s="114"/>
      <c r="C434" s="233"/>
      <c r="D434" s="234" t="s">
        <v>0</v>
      </c>
      <c r="E434" s="235">
        <v>1</v>
      </c>
      <c r="F434" s="236">
        <f>0.1+0.2+0.2</f>
        <v>0.5</v>
      </c>
      <c r="G434" s="236"/>
      <c r="H434" s="236">
        <v>0.51</v>
      </c>
      <c r="I434" s="235">
        <v>1</v>
      </c>
      <c r="J434" s="237"/>
      <c r="K434" s="237">
        <f t="shared" si="27"/>
        <v>0.255</v>
      </c>
      <c r="L434" s="111"/>
      <c r="M434" s="111"/>
      <c r="N434" s="111"/>
      <c r="O434" s="111"/>
    </row>
    <row r="435" spans="2:15" x14ac:dyDescent="0.3">
      <c r="B435" s="114"/>
      <c r="C435" s="233" t="s">
        <v>787</v>
      </c>
      <c r="D435" s="234" t="s">
        <v>0</v>
      </c>
      <c r="E435" s="235">
        <v>1</v>
      </c>
      <c r="F435" s="236">
        <f>0.1+0.2</f>
        <v>0.30000000000000004</v>
      </c>
      <c r="G435" s="236"/>
      <c r="H435" s="236">
        <v>2.2999999999999998</v>
      </c>
      <c r="I435" s="235">
        <v>1</v>
      </c>
      <c r="J435" s="237"/>
      <c r="K435" s="237">
        <f t="shared" si="27"/>
        <v>0.69000000000000006</v>
      </c>
      <c r="L435" s="111"/>
      <c r="M435" s="111"/>
      <c r="N435" s="111"/>
      <c r="O435" s="111"/>
    </row>
    <row r="436" spans="2:15" x14ac:dyDescent="0.3">
      <c r="B436" s="114"/>
      <c r="C436" s="233"/>
      <c r="D436" s="234" t="s">
        <v>0</v>
      </c>
      <c r="E436" s="235">
        <v>1</v>
      </c>
      <c r="F436" s="236">
        <f>0.1+0.2</f>
        <v>0.30000000000000004</v>
      </c>
      <c r="G436" s="236"/>
      <c r="H436" s="236">
        <v>0.5</v>
      </c>
      <c r="I436" s="235">
        <v>1</v>
      </c>
      <c r="J436" s="237"/>
      <c r="K436" s="237">
        <f t="shared" si="27"/>
        <v>0.15000000000000002</v>
      </c>
      <c r="L436" s="111"/>
      <c r="M436" s="111"/>
      <c r="N436" s="111"/>
      <c r="O436" s="111"/>
    </row>
    <row r="437" spans="2:15" x14ac:dyDescent="0.3">
      <c r="B437" s="114"/>
      <c r="C437" s="233"/>
      <c r="D437" s="234" t="s">
        <v>0</v>
      </c>
      <c r="E437" s="235">
        <v>1</v>
      </c>
      <c r="F437" s="236">
        <f>0.25+0.2+0.2</f>
        <v>0.65</v>
      </c>
      <c r="G437" s="236"/>
      <c r="H437" s="236">
        <v>1.55</v>
      </c>
      <c r="I437" s="235">
        <v>1</v>
      </c>
      <c r="J437" s="237"/>
      <c r="K437" s="237">
        <f t="shared" si="27"/>
        <v>1.0075000000000001</v>
      </c>
      <c r="L437" s="111"/>
      <c r="M437" s="111"/>
      <c r="N437" s="111"/>
      <c r="O437" s="111"/>
    </row>
    <row r="438" spans="2:15" x14ac:dyDescent="0.3">
      <c r="B438" s="114"/>
      <c r="C438" s="233" t="s">
        <v>788</v>
      </c>
      <c r="D438" s="234" t="s">
        <v>0</v>
      </c>
      <c r="E438" s="235">
        <v>1</v>
      </c>
      <c r="F438" s="236">
        <f>0.25+0.2+0.2</f>
        <v>0.65</v>
      </c>
      <c r="G438" s="236"/>
      <c r="H438" s="236">
        <v>2.2000000000000002</v>
      </c>
      <c r="I438" s="235">
        <v>1</v>
      </c>
      <c r="J438" s="237"/>
      <c r="K438" s="237">
        <f t="shared" si="27"/>
        <v>1.4300000000000002</v>
      </c>
      <c r="L438" s="111"/>
      <c r="M438" s="111"/>
      <c r="N438" s="111"/>
      <c r="O438" s="111"/>
    </row>
    <row r="439" spans="2:15" x14ac:dyDescent="0.3">
      <c r="B439" s="114"/>
      <c r="C439" s="233" t="s">
        <v>789</v>
      </c>
      <c r="D439" s="234" t="s">
        <v>0</v>
      </c>
      <c r="E439" s="235">
        <v>1</v>
      </c>
      <c r="F439" s="236">
        <f>0.25+0.2+0.2</f>
        <v>0.65</v>
      </c>
      <c r="G439" s="236"/>
      <c r="H439" s="236">
        <v>5.69</v>
      </c>
      <c r="I439" s="235">
        <v>1</v>
      </c>
      <c r="J439" s="237"/>
      <c r="K439" s="237">
        <f t="shared" si="27"/>
        <v>3.6985000000000006</v>
      </c>
      <c r="L439" s="111"/>
      <c r="M439" s="111"/>
      <c r="N439" s="111"/>
      <c r="O439" s="111"/>
    </row>
    <row r="440" spans="2:15" x14ac:dyDescent="0.3">
      <c r="B440" s="114"/>
      <c r="C440" s="233" t="s">
        <v>790</v>
      </c>
      <c r="D440" s="234" t="s">
        <v>0</v>
      </c>
      <c r="E440" s="235">
        <v>1</v>
      </c>
      <c r="F440" s="236">
        <f>0.25+0.2</f>
        <v>0.45</v>
      </c>
      <c r="G440" s="236"/>
      <c r="H440" s="236">
        <v>3.81</v>
      </c>
      <c r="I440" s="235">
        <v>1</v>
      </c>
      <c r="J440" s="237"/>
      <c r="K440" s="237">
        <f t="shared" si="27"/>
        <v>1.7145000000000001</v>
      </c>
      <c r="L440" s="111"/>
      <c r="M440" s="111"/>
      <c r="N440" s="111"/>
      <c r="O440" s="111"/>
    </row>
    <row r="441" spans="2:15" x14ac:dyDescent="0.3">
      <c r="B441" s="114"/>
      <c r="C441" s="233" t="s">
        <v>791</v>
      </c>
      <c r="D441" s="234" t="s">
        <v>0</v>
      </c>
      <c r="E441" s="235">
        <v>1</v>
      </c>
      <c r="F441" s="236">
        <f>0.25+0.2+0.2</f>
        <v>0.65</v>
      </c>
      <c r="G441" s="236"/>
      <c r="H441" s="236">
        <v>3.81</v>
      </c>
      <c r="I441" s="235">
        <v>1</v>
      </c>
      <c r="J441" s="237"/>
      <c r="K441" s="237">
        <f t="shared" si="27"/>
        <v>2.4765000000000001</v>
      </c>
      <c r="L441" s="111"/>
      <c r="M441" s="111"/>
      <c r="N441" s="111"/>
      <c r="O441" s="111"/>
    </row>
    <row r="442" spans="2:15" x14ac:dyDescent="0.3">
      <c r="B442" s="114"/>
      <c r="C442" s="233" t="s">
        <v>792</v>
      </c>
      <c r="D442" s="234" t="s">
        <v>0</v>
      </c>
      <c r="E442" s="235">
        <v>1</v>
      </c>
      <c r="F442" s="236">
        <f>0.1+0.2</f>
        <v>0.30000000000000004</v>
      </c>
      <c r="G442" s="236"/>
      <c r="H442" s="236">
        <v>2.2999999999999998</v>
      </c>
      <c r="I442" s="235">
        <v>1</v>
      </c>
      <c r="J442" s="237"/>
      <c r="K442" s="237">
        <f t="shared" si="27"/>
        <v>0.69000000000000006</v>
      </c>
      <c r="L442" s="111"/>
      <c r="M442" s="111"/>
      <c r="N442" s="111"/>
      <c r="O442" s="111"/>
    </row>
    <row r="443" spans="2:15" x14ac:dyDescent="0.3">
      <c r="B443" s="114"/>
      <c r="C443" s="233"/>
      <c r="D443" s="234" t="s">
        <v>0</v>
      </c>
      <c r="E443" s="235">
        <v>1</v>
      </c>
      <c r="F443" s="236">
        <f>0.1+0.2</f>
        <v>0.30000000000000004</v>
      </c>
      <c r="G443" s="236"/>
      <c r="H443" s="236">
        <v>1.5</v>
      </c>
      <c r="I443" s="235">
        <v>1</v>
      </c>
      <c r="J443" s="237"/>
      <c r="K443" s="237">
        <f t="shared" si="27"/>
        <v>0.45000000000000007</v>
      </c>
      <c r="L443" s="111"/>
      <c r="M443" s="111"/>
      <c r="N443" s="111"/>
      <c r="O443" s="111"/>
    </row>
    <row r="444" spans="2:15" x14ac:dyDescent="0.3">
      <c r="B444" s="114"/>
      <c r="C444" s="233" t="s">
        <v>793</v>
      </c>
      <c r="D444" s="234" t="s">
        <v>0</v>
      </c>
      <c r="E444" s="235">
        <v>1</v>
      </c>
      <c r="F444" s="236">
        <f>0.25+0.2+0.2</f>
        <v>0.65</v>
      </c>
      <c r="G444" s="236"/>
      <c r="H444" s="236">
        <v>2.1</v>
      </c>
      <c r="I444" s="235">
        <v>1</v>
      </c>
      <c r="J444" s="237"/>
      <c r="K444" s="237">
        <f t="shared" si="27"/>
        <v>1.3650000000000002</v>
      </c>
      <c r="L444" s="111"/>
      <c r="M444" s="111"/>
      <c r="N444" s="111"/>
      <c r="O444" s="111"/>
    </row>
    <row r="445" spans="2:15" x14ac:dyDescent="0.3">
      <c r="B445" s="114"/>
      <c r="C445" s="233" t="s">
        <v>794</v>
      </c>
      <c r="D445" s="234" t="s">
        <v>0</v>
      </c>
      <c r="E445" s="235">
        <v>1</v>
      </c>
      <c r="F445" s="236">
        <f>0.25+0.2+0.2</f>
        <v>0.65</v>
      </c>
      <c r="G445" s="236"/>
      <c r="H445" s="236">
        <v>5.69</v>
      </c>
      <c r="I445" s="235">
        <v>1</v>
      </c>
      <c r="J445" s="237"/>
      <c r="K445" s="237">
        <f t="shared" si="27"/>
        <v>3.6985000000000006</v>
      </c>
      <c r="L445" s="111"/>
      <c r="M445" s="111"/>
      <c r="N445" s="111"/>
      <c r="O445" s="111"/>
    </row>
    <row r="446" spans="2:15" x14ac:dyDescent="0.3">
      <c r="B446" s="114"/>
      <c r="C446" s="233" t="s">
        <v>795</v>
      </c>
      <c r="D446" s="234" t="s">
        <v>0</v>
      </c>
      <c r="E446" s="235">
        <v>1</v>
      </c>
      <c r="F446" s="236">
        <f>0.25+0.2</f>
        <v>0.45</v>
      </c>
      <c r="G446" s="236"/>
      <c r="H446" s="236">
        <v>4.34</v>
      </c>
      <c r="I446" s="235">
        <v>1</v>
      </c>
      <c r="J446" s="237"/>
      <c r="K446" s="237">
        <f t="shared" si="27"/>
        <v>1.9530000000000001</v>
      </c>
      <c r="L446" s="111"/>
      <c r="M446" s="111"/>
      <c r="N446" s="111"/>
      <c r="O446" s="111"/>
    </row>
    <row r="447" spans="2:15" x14ac:dyDescent="0.3">
      <c r="B447" s="114"/>
      <c r="C447" s="233" t="s">
        <v>796</v>
      </c>
      <c r="D447" s="234" t="s">
        <v>0</v>
      </c>
      <c r="E447" s="235">
        <v>1</v>
      </c>
      <c r="F447" s="236">
        <f>0.1+0.2+0.2</f>
        <v>0.5</v>
      </c>
      <c r="G447" s="236"/>
      <c r="H447" s="236">
        <v>1.47</v>
      </c>
      <c r="I447" s="235">
        <v>1</v>
      </c>
      <c r="J447" s="237"/>
      <c r="K447" s="237">
        <f t="shared" si="27"/>
        <v>0.73499999999999999</v>
      </c>
      <c r="L447" s="111"/>
      <c r="M447" s="111"/>
      <c r="N447" s="111"/>
      <c r="O447" s="111"/>
    </row>
    <row r="448" spans="2:15" x14ac:dyDescent="0.3">
      <c r="B448" s="114"/>
      <c r="C448" s="233"/>
      <c r="D448" s="234" t="s">
        <v>0</v>
      </c>
      <c r="E448" s="235">
        <v>1</v>
      </c>
      <c r="F448" s="236">
        <f>0.25+0.2+0.2</f>
        <v>0.65</v>
      </c>
      <c r="G448" s="236"/>
      <c r="H448" s="236">
        <v>2.87</v>
      </c>
      <c r="I448" s="235">
        <v>1</v>
      </c>
      <c r="J448" s="237"/>
      <c r="K448" s="237">
        <f t="shared" si="27"/>
        <v>1.8655000000000002</v>
      </c>
      <c r="L448" s="111"/>
      <c r="M448" s="111"/>
      <c r="N448" s="111"/>
      <c r="O448" s="111"/>
    </row>
    <row r="449" spans="2:15" x14ac:dyDescent="0.3">
      <c r="B449" s="114"/>
      <c r="C449" s="233" t="s">
        <v>797</v>
      </c>
      <c r="D449" s="234" t="s">
        <v>0</v>
      </c>
      <c r="E449" s="235">
        <v>1</v>
      </c>
      <c r="F449" s="236">
        <f>0.1+0.2</f>
        <v>0.30000000000000004</v>
      </c>
      <c r="G449" s="236"/>
      <c r="H449" s="236">
        <v>1.47</v>
      </c>
      <c r="I449" s="235">
        <v>1</v>
      </c>
      <c r="J449" s="237"/>
      <c r="K449" s="237">
        <f t="shared" si="27"/>
        <v>0.44100000000000006</v>
      </c>
      <c r="L449" s="111"/>
      <c r="M449" s="111"/>
      <c r="N449" s="111"/>
      <c r="O449" s="111"/>
    </row>
    <row r="450" spans="2:15" x14ac:dyDescent="0.3">
      <c r="B450" s="114"/>
      <c r="C450" s="280"/>
      <c r="D450" s="234" t="s">
        <v>0</v>
      </c>
      <c r="E450" s="235">
        <v>1</v>
      </c>
      <c r="F450" s="236">
        <f>0.1+0.2</f>
        <v>0.30000000000000004</v>
      </c>
      <c r="G450" s="236"/>
      <c r="H450" s="236">
        <v>1.33</v>
      </c>
      <c r="I450" s="235">
        <v>1</v>
      </c>
      <c r="J450" s="237"/>
      <c r="K450" s="237">
        <f t="shared" si="27"/>
        <v>0.39900000000000008</v>
      </c>
      <c r="L450" s="111"/>
      <c r="M450" s="111"/>
      <c r="N450" s="111"/>
      <c r="O450" s="111"/>
    </row>
    <row r="451" spans="2:15" x14ac:dyDescent="0.3">
      <c r="B451" s="114"/>
      <c r="C451" s="280"/>
      <c r="D451" s="234" t="s">
        <v>0</v>
      </c>
      <c r="E451" s="235">
        <v>1</v>
      </c>
      <c r="F451" s="236">
        <f>0.25+0.2</f>
        <v>0.45</v>
      </c>
      <c r="G451" s="236"/>
      <c r="H451" s="236">
        <v>1.56</v>
      </c>
      <c r="I451" s="235">
        <v>1</v>
      </c>
      <c r="J451" s="237"/>
      <c r="K451" s="237">
        <f t="shared" si="27"/>
        <v>0.70200000000000007</v>
      </c>
      <c r="L451" s="111"/>
      <c r="M451" s="111"/>
      <c r="N451" s="111"/>
      <c r="O451" s="111"/>
    </row>
    <row r="452" spans="2:15" x14ac:dyDescent="0.3">
      <c r="B452" s="114"/>
      <c r="C452" s="233" t="s">
        <v>798</v>
      </c>
      <c r="D452" s="234" t="s">
        <v>0</v>
      </c>
      <c r="E452" s="235">
        <v>1</v>
      </c>
      <c r="F452" s="236">
        <f>0.25+0.2+0.2</f>
        <v>0.65</v>
      </c>
      <c r="G452" s="236"/>
      <c r="H452" s="236">
        <v>2.1</v>
      </c>
      <c r="I452" s="235">
        <v>1</v>
      </c>
      <c r="J452" s="237"/>
      <c r="K452" s="237">
        <f t="shared" si="27"/>
        <v>1.3650000000000002</v>
      </c>
      <c r="L452" s="111"/>
      <c r="M452" s="111"/>
      <c r="N452" s="111"/>
      <c r="O452" s="111"/>
    </row>
    <row r="453" spans="2:15" x14ac:dyDescent="0.3">
      <c r="B453" s="114"/>
      <c r="C453" s="233" t="s">
        <v>799</v>
      </c>
      <c r="D453" s="234" t="s">
        <v>0</v>
      </c>
      <c r="E453" s="235">
        <v>1</v>
      </c>
      <c r="F453" s="236">
        <f>0.25+0.2+0.2</f>
        <v>0.65</v>
      </c>
      <c r="G453" s="236"/>
      <c r="H453" s="236">
        <v>1.2</v>
      </c>
      <c r="I453" s="235">
        <v>1</v>
      </c>
      <c r="J453" s="237"/>
      <c r="K453" s="237">
        <f t="shared" si="27"/>
        <v>0.78</v>
      </c>
      <c r="L453" s="111"/>
      <c r="M453" s="111"/>
      <c r="N453" s="111"/>
      <c r="O453" s="111"/>
    </row>
    <row r="454" spans="2:15" x14ac:dyDescent="0.3">
      <c r="B454" s="114"/>
      <c r="C454" s="233"/>
      <c r="D454" s="234" t="s">
        <v>0</v>
      </c>
      <c r="E454" s="235">
        <v>1</v>
      </c>
      <c r="F454" s="236">
        <f>0.1+0.2+0.2</f>
        <v>0.5</v>
      </c>
      <c r="G454" s="236"/>
      <c r="H454" s="236">
        <v>4.49</v>
      </c>
      <c r="I454" s="235">
        <v>1</v>
      </c>
      <c r="J454" s="237"/>
      <c r="K454" s="237">
        <f t="shared" si="27"/>
        <v>2.2450000000000001</v>
      </c>
      <c r="L454" s="111"/>
      <c r="M454" s="111"/>
      <c r="N454" s="111"/>
      <c r="O454" s="111"/>
    </row>
    <row r="455" spans="2:15" x14ac:dyDescent="0.3">
      <c r="B455" s="114"/>
      <c r="C455" s="233" t="s">
        <v>800</v>
      </c>
      <c r="D455" s="234" t="s">
        <v>0</v>
      </c>
      <c r="E455" s="235">
        <v>1</v>
      </c>
      <c r="F455" s="236">
        <f>0.25+0.2</f>
        <v>0.45</v>
      </c>
      <c r="G455" s="236"/>
      <c r="H455" s="236">
        <v>3.78</v>
      </c>
      <c r="I455" s="235">
        <v>1</v>
      </c>
      <c r="J455" s="237"/>
      <c r="K455" s="237">
        <f t="shared" si="27"/>
        <v>1.7009999999999998</v>
      </c>
      <c r="L455" s="111"/>
      <c r="M455" s="111"/>
      <c r="N455" s="111"/>
      <c r="O455" s="111"/>
    </row>
    <row r="456" spans="2:15" x14ac:dyDescent="0.3">
      <c r="B456" s="114"/>
      <c r="C456" s="233" t="s">
        <v>801</v>
      </c>
      <c r="D456" s="234" t="s">
        <v>0</v>
      </c>
      <c r="E456" s="235">
        <v>1</v>
      </c>
      <c r="F456" s="236">
        <f>0.25+0.2+0.2</f>
        <v>0.65</v>
      </c>
      <c r="G456" s="236"/>
      <c r="H456" s="236">
        <f>1.5+2.28</f>
        <v>3.78</v>
      </c>
      <c r="I456" s="235">
        <v>1</v>
      </c>
      <c r="J456" s="237"/>
      <c r="K456" s="237">
        <f t="shared" si="27"/>
        <v>2.4569999999999999</v>
      </c>
      <c r="L456" s="111"/>
      <c r="M456" s="111"/>
      <c r="N456" s="111"/>
      <c r="O456" s="111"/>
    </row>
    <row r="457" spans="2:15" x14ac:dyDescent="0.3">
      <c r="B457" s="114"/>
      <c r="C457" s="233" t="s">
        <v>802</v>
      </c>
      <c r="D457" s="234" t="s">
        <v>0</v>
      </c>
      <c r="E457" s="235">
        <v>1</v>
      </c>
      <c r="F457" s="236">
        <f>0.1+0.2</f>
        <v>0.30000000000000004</v>
      </c>
      <c r="G457" s="236"/>
      <c r="H457" s="236">
        <v>2.2799999999999998</v>
      </c>
      <c r="I457" s="235">
        <v>1</v>
      </c>
      <c r="J457" s="237"/>
      <c r="K457" s="237">
        <f t="shared" si="27"/>
        <v>0.68400000000000005</v>
      </c>
      <c r="L457" s="111"/>
      <c r="M457" s="111"/>
      <c r="N457" s="111"/>
      <c r="O457" s="111"/>
    </row>
    <row r="458" spans="2:15" x14ac:dyDescent="0.3">
      <c r="B458" s="114"/>
      <c r="C458" s="280"/>
      <c r="D458" s="234" t="s">
        <v>0</v>
      </c>
      <c r="E458" s="235">
        <v>1</v>
      </c>
      <c r="F458" s="236">
        <f>0.25+0.2</f>
        <v>0.45</v>
      </c>
      <c r="G458" s="236"/>
      <c r="H458" s="236">
        <v>1.5</v>
      </c>
      <c r="I458" s="235">
        <v>1</v>
      </c>
      <c r="J458" s="237"/>
      <c r="K458" s="237">
        <f t="shared" si="27"/>
        <v>0.67500000000000004</v>
      </c>
      <c r="L458" s="111"/>
      <c r="M458" s="111"/>
      <c r="N458" s="111"/>
      <c r="O458" s="111"/>
    </row>
    <row r="459" spans="2:15" x14ac:dyDescent="0.3">
      <c r="B459" s="114"/>
      <c r="C459" s="233" t="s">
        <v>803</v>
      </c>
      <c r="D459" s="234" t="s">
        <v>0</v>
      </c>
      <c r="E459" s="235">
        <v>1</v>
      </c>
      <c r="F459" s="236">
        <f>0.25+0.2+0.2</f>
        <v>0.65</v>
      </c>
      <c r="G459" s="236"/>
      <c r="H459" s="236">
        <v>2.2000000000000002</v>
      </c>
      <c r="I459" s="235">
        <v>1</v>
      </c>
      <c r="J459" s="237"/>
      <c r="K459" s="237">
        <f t="shared" si="27"/>
        <v>1.4300000000000002</v>
      </c>
      <c r="L459" s="111"/>
      <c r="M459" s="111"/>
      <c r="N459" s="111"/>
      <c r="O459" s="111"/>
    </row>
    <row r="460" spans="2:15" x14ac:dyDescent="0.3">
      <c r="B460" s="114"/>
      <c r="C460" s="233" t="s">
        <v>804</v>
      </c>
      <c r="D460" s="234" t="s">
        <v>0</v>
      </c>
      <c r="E460" s="235">
        <v>1</v>
      </c>
      <c r="F460" s="236">
        <f>0.25+0.2+0.2</f>
        <v>0.65</v>
      </c>
      <c r="G460" s="236"/>
      <c r="H460" s="236">
        <v>5.69</v>
      </c>
      <c r="I460" s="235">
        <v>1</v>
      </c>
      <c r="J460" s="237"/>
      <c r="K460" s="237">
        <f t="shared" si="27"/>
        <v>3.6985000000000006</v>
      </c>
      <c r="L460" s="111"/>
      <c r="M460" s="111"/>
      <c r="N460" s="111"/>
      <c r="O460" s="111"/>
    </row>
    <row r="461" spans="2:15" x14ac:dyDescent="0.3">
      <c r="B461" s="114"/>
      <c r="C461" s="233" t="s">
        <v>805</v>
      </c>
      <c r="D461" s="234" t="s">
        <v>0</v>
      </c>
      <c r="E461" s="235">
        <v>1</v>
      </c>
      <c r="F461" s="236">
        <f>0.25+0.2</f>
        <v>0.45</v>
      </c>
      <c r="G461" s="236"/>
      <c r="H461" s="236">
        <v>4.3600000000000003</v>
      </c>
      <c r="I461" s="235">
        <v>1</v>
      </c>
      <c r="J461" s="237"/>
      <c r="K461" s="237">
        <f t="shared" si="27"/>
        <v>1.9620000000000002</v>
      </c>
      <c r="L461" s="111"/>
      <c r="M461" s="111"/>
      <c r="N461" s="111"/>
      <c r="O461" s="111"/>
    </row>
    <row r="462" spans="2:15" x14ac:dyDescent="0.3">
      <c r="B462" s="114"/>
      <c r="C462" s="233" t="s">
        <v>806</v>
      </c>
      <c r="D462" s="234" t="s">
        <v>0</v>
      </c>
      <c r="E462" s="235">
        <v>1</v>
      </c>
      <c r="F462" s="236">
        <f>0.25+0.2+0.2</f>
        <v>0.65</v>
      </c>
      <c r="G462" s="236"/>
      <c r="H462" s="236">
        <f>1.63+1.53</f>
        <v>3.16</v>
      </c>
      <c r="I462" s="235">
        <v>1</v>
      </c>
      <c r="J462" s="237"/>
      <c r="K462" s="237">
        <f t="shared" si="27"/>
        <v>2.0540000000000003</v>
      </c>
      <c r="L462" s="111"/>
      <c r="M462" s="111"/>
      <c r="N462" s="111"/>
      <c r="O462" s="111"/>
    </row>
    <row r="463" spans="2:15" x14ac:dyDescent="0.3">
      <c r="B463" s="114"/>
      <c r="C463" s="233" t="s">
        <v>807</v>
      </c>
      <c r="D463" s="234" t="s">
        <v>0</v>
      </c>
      <c r="E463" s="235">
        <v>1</v>
      </c>
      <c r="F463" s="236">
        <f>0.1+0.2</f>
        <v>0.30000000000000004</v>
      </c>
      <c r="G463" s="236"/>
      <c r="H463" s="236">
        <v>1.63</v>
      </c>
      <c r="I463" s="235">
        <v>1</v>
      </c>
      <c r="J463" s="237"/>
      <c r="K463" s="237">
        <f t="shared" si="27"/>
        <v>0.48900000000000005</v>
      </c>
      <c r="L463" s="111"/>
      <c r="M463" s="111"/>
      <c r="N463" s="111"/>
      <c r="O463" s="111"/>
    </row>
    <row r="464" spans="2:15" x14ac:dyDescent="0.3">
      <c r="B464" s="114"/>
      <c r="C464" s="280"/>
      <c r="D464" s="234" t="s">
        <v>0</v>
      </c>
      <c r="E464" s="235">
        <v>1</v>
      </c>
      <c r="F464" s="236">
        <f>0.25+0.2</f>
        <v>0.45</v>
      </c>
      <c r="G464" s="236"/>
      <c r="H464" s="236">
        <v>1.53</v>
      </c>
      <c r="I464" s="235">
        <v>1</v>
      </c>
      <c r="J464" s="237"/>
      <c r="K464" s="237">
        <f t="shared" si="27"/>
        <v>0.6885</v>
      </c>
      <c r="L464" s="111"/>
      <c r="M464" s="111"/>
      <c r="N464" s="111"/>
      <c r="O464" s="111"/>
    </row>
    <row r="465" spans="2:15" x14ac:dyDescent="0.3">
      <c r="B465" s="114"/>
      <c r="C465" s="233" t="s">
        <v>808</v>
      </c>
      <c r="D465" s="234" t="s">
        <v>0</v>
      </c>
      <c r="E465" s="235">
        <v>1</v>
      </c>
      <c r="F465" s="236">
        <f>0.25+0.2+0.2</f>
        <v>0.65</v>
      </c>
      <c r="G465" s="236"/>
      <c r="H465" s="236">
        <v>2.2000000000000002</v>
      </c>
      <c r="I465" s="235">
        <v>1</v>
      </c>
      <c r="J465" s="237"/>
      <c r="K465" s="237">
        <f t="shared" si="27"/>
        <v>1.4300000000000002</v>
      </c>
      <c r="L465" s="111"/>
      <c r="M465" s="111"/>
      <c r="N465" s="111"/>
      <c r="O465" s="111"/>
    </row>
    <row r="466" spans="2:15" x14ac:dyDescent="0.3">
      <c r="B466" s="106"/>
      <c r="C466" s="233" t="s">
        <v>809</v>
      </c>
      <c r="D466" s="234" t="s">
        <v>0</v>
      </c>
      <c r="E466" s="235">
        <v>1</v>
      </c>
      <c r="F466" s="236">
        <f>0.25+0.2+0.2</f>
        <v>0.65</v>
      </c>
      <c r="G466" s="236"/>
      <c r="H466" s="236">
        <v>5.69</v>
      </c>
      <c r="I466" s="235">
        <v>1</v>
      </c>
      <c r="J466" s="237"/>
      <c r="K466" s="237">
        <f t="shared" si="27"/>
        <v>3.6985000000000006</v>
      </c>
      <c r="L466" s="113"/>
      <c r="M466" s="113"/>
      <c r="N466" s="113"/>
      <c r="O466" s="113"/>
    </row>
    <row r="467" spans="2:15" x14ac:dyDescent="0.3">
      <c r="B467" s="114"/>
      <c r="C467" s="233" t="s">
        <v>805</v>
      </c>
      <c r="D467" s="234" t="s">
        <v>0</v>
      </c>
      <c r="E467" s="235">
        <v>1</v>
      </c>
      <c r="F467" s="236">
        <f>0.25+0.2</f>
        <v>0.45</v>
      </c>
      <c r="G467" s="236"/>
      <c r="H467" s="236">
        <v>3.81</v>
      </c>
      <c r="I467" s="235">
        <v>1</v>
      </c>
      <c r="J467" s="237"/>
      <c r="K467" s="237">
        <f t="shared" si="27"/>
        <v>1.7145000000000001</v>
      </c>
      <c r="L467" s="111"/>
      <c r="M467" s="111"/>
      <c r="N467" s="111"/>
      <c r="O467" s="111"/>
    </row>
    <row r="468" spans="2:15" x14ac:dyDescent="0.3">
      <c r="B468" s="114"/>
      <c r="C468" s="233" t="s">
        <v>806</v>
      </c>
      <c r="D468" s="234" t="s">
        <v>0</v>
      </c>
      <c r="E468" s="235">
        <v>1</v>
      </c>
      <c r="F468" s="236">
        <f>0.25+0.2+0.2</f>
        <v>0.65</v>
      </c>
      <c r="G468" s="236"/>
      <c r="H468" s="236">
        <f>2.3+1.5</f>
        <v>3.8</v>
      </c>
      <c r="I468" s="235">
        <v>1</v>
      </c>
      <c r="J468" s="237"/>
      <c r="K468" s="237">
        <f t="shared" si="27"/>
        <v>2.4699999999999998</v>
      </c>
      <c r="L468" s="111"/>
      <c r="M468" s="111"/>
      <c r="N468" s="111"/>
      <c r="O468" s="111"/>
    </row>
    <row r="469" spans="2:15" x14ac:dyDescent="0.3">
      <c r="B469" s="114"/>
      <c r="C469" s="233" t="s">
        <v>807</v>
      </c>
      <c r="D469" s="234" t="s">
        <v>0</v>
      </c>
      <c r="E469" s="235">
        <v>1</v>
      </c>
      <c r="F469" s="236">
        <f>0.1+0.2</f>
        <v>0.30000000000000004</v>
      </c>
      <c r="G469" s="236"/>
      <c r="H469" s="236">
        <v>2.2999999999999998</v>
      </c>
      <c r="I469" s="235">
        <v>1</v>
      </c>
      <c r="J469" s="237"/>
      <c r="K469" s="237">
        <f t="shared" si="27"/>
        <v>0.69000000000000006</v>
      </c>
      <c r="L469" s="111"/>
      <c r="M469" s="111"/>
      <c r="N469" s="111"/>
      <c r="O469" s="111"/>
    </row>
    <row r="470" spans="2:15" x14ac:dyDescent="0.3">
      <c r="B470" s="114"/>
      <c r="C470" s="280"/>
      <c r="D470" s="234" t="s">
        <v>0</v>
      </c>
      <c r="E470" s="235">
        <v>1</v>
      </c>
      <c r="F470" s="236">
        <f>0.25+0.2</f>
        <v>0.45</v>
      </c>
      <c r="G470" s="236"/>
      <c r="H470" s="236">
        <v>1.5</v>
      </c>
      <c r="I470" s="235">
        <v>1</v>
      </c>
      <c r="J470" s="237"/>
      <c r="K470" s="237">
        <f t="shared" si="27"/>
        <v>0.67500000000000004</v>
      </c>
      <c r="L470" s="111"/>
      <c r="M470" s="111"/>
      <c r="N470" s="111"/>
      <c r="O470" s="111"/>
    </row>
    <row r="471" spans="2:15" x14ac:dyDescent="0.3">
      <c r="B471" s="114"/>
      <c r="C471" s="233" t="s">
        <v>810</v>
      </c>
      <c r="D471" s="234" t="s">
        <v>0</v>
      </c>
      <c r="E471" s="235">
        <v>1</v>
      </c>
      <c r="F471" s="236">
        <f>0.25+0.2+0.2</f>
        <v>0.65</v>
      </c>
      <c r="G471" s="236"/>
      <c r="H471" s="236">
        <v>2.2000000000000002</v>
      </c>
      <c r="I471" s="235">
        <v>1</v>
      </c>
      <c r="J471" s="237"/>
      <c r="K471" s="237">
        <f t="shared" si="27"/>
        <v>1.4300000000000002</v>
      </c>
      <c r="L471" s="111"/>
      <c r="M471" s="111"/>
      <c r="N471" s="111"/>
      <c r="O471" s="111"/>
    </row>
    <row r="472" spans="2:15" x14ac:dyDescent="0.3">
      <c r="B472" s="114"/>
      <c r="C472" s="233" t="s">
        <v>811</v>
      </c>
      <c r="D472" s="234" t="s">
        <v>0</v>
      </c>
      <c r="E472" s="235">
        <v>1</v>
      </c>
      <c r="F472" s="236">
        <f>0.1+0.2+0.2</f>
        <v>0.5</v>
      </c>
      <c r="G472" s="236"/>
      <c r="H472" s="236">
        <v>5.69</v>
      </c>
      <c r="I472" s="235">
        <v>1</v>
      </c>
      <c r="J472" s="237"/>
      <c r="K472" s="237">
        <f t="shared" si="27"/>
        <v>2.8450000000000002</v>
      </c>
      <c r="L472" s="111"/>
      <c r="M472" s="111"/>
      <c r="N472" s="111"/>
      <c r="O472" s="111"/>
    </row>
    <row r="473" spans="2:15" x14ac:dyDescent="0.3">
      <c r="B473" s="114"/>
      <c r="C473" s="233" t="s">
        <v>812</v>
      </c>
      <c r="D473" s="234" t="s">
        <v>0</v>
      </c>
      <c r="E473" s="235">
        <v>1</v>
      </c>
      <c r="F473" s="236">
        <f>0.25+0.2</f>
        <v>0.45</v>
      </c>
      <c r="G473" s="236"/>
      <c r="H473" s="236">
        <v>3.7</v>
      </c>
      <c r="I473" s="235">
        <v>1</v>
      </c>
      <c r="J473" s="237"/>
      <c r="K473" s="237">
        <f t="shared" si="27"/>
        <v>1.665</v>
      </c>
      <c r="L473" s="111"/>
      <c r="M473" s="111"/>
      <c r="N473" s="111"/>
      <c r="O473" s="111"/>
    </row>
    <row r="474" spans="2:15" x14ac:dyDescent="0.3">
      <c r="B474" s="114"/>
      <c r="C474" s="233" t="s">
        <v>813</v>
      </c>
      <c r="D474" s="234" t="s">
        <v>0</v>
      </c>
      <c r="E474" s="235">
        <v>1</v>
      </c>
      <c r="F474" s="236">
        <f>0.25+0.2+0.2</f>
        <v>0.65</v>
      </c>
      <c r="G474" s="236"/>
      <c r="H474" s="236">
        <v>2.5</v>
      </c>
      <c r="I474" s="235">
        <v>1</v>
      </c>
      <c r="J474" s="237"/>
      <c r="K474" s="237">
        <f t="shared" si="27"/>
        <v>1.625</v>
      </c>
      <c r="L474" s="111"/>
      <c r="M474" s="111"/>
      <c r="N474" s="111"/>
      <c r="O474" s="111"/>
    </row>
    <row r="475" spans="2:15" x14ac:dyDescent="0.3">
      <c r="B475" s="114"/>
      <c r="C475" s="233" t="s">
        <v>814</v>
      </c>
      <c r="D475" s="234" t="s">
        <v>0</v>
      </c>
      <c r="E475" s="235">
        <v>1</v>
      </c>
      <c r="F475" s="236">
        <f>0.1+0.2</f>
        <v>0.30000000000000004</v>
      </c>
      <c r="G475" s="236"/>
      <c r="H475" s="236">
        <v>2.5</v>
      </c>
      <c r="I475" s="235">
        <v>1</v>
      </c>
      <c r="J475" s="237"/>
      <c r="K475" s="237">
        <f t="shared" si="27"/>
        <v>0.75000000000000011</v>
      </c>
      <c r="L475" s="111"/>
      <c r="M475" s="111"/>
      <c r="N475" s="111"/>
      <c r="O475" s="111"/>
    </row>
    <row r="476" spans="2:15" x14ac:dyDescent="0.3">
      <c r="B476" s="114"/>
      <c r="C476" s="233" t="s">
        <v>815</v>
      </c>
      <c r="D476" s="234" t="s">
        <v>0</v>
      </c>
      <c r="E476" s="235">
        <v>1</v>
      </c>
      <c r="F476" s="236">
        <f>0.25+0.2</f>
        <v>0.45</v>
      </c>
      <c r="G476" s="236"/>
      <c r="H476" s="236">
        <v>2.2000000000000002</v>
      </c>
      <c r="I476" s="235">
        <v>1</v>
      </c>
      <c r="J476" s="237"/>
      <c r="K476" s="237">
        <f t="shared" si="27"/>
        <v>0.9900000000000001</v>
      </c>
      <c r="L476" s="111"/>
      <c r="M476" s="111"/>
      <c r="N476" s="111"/>
      <c r="O476" s="111"/>
    </row>
    <row r="477" spans="2:15" x14ac:dyDescent="0.3">
      <c r="B477" s="114"/>
      <c r="C477" s="233" t="s">
        <v>816</v>
      </c>
      <c r="D477" s="234" t="s">
        <v>0</v>
      </c>
      <c r="E477" s="235">
        <v>1</v>
      </c>
      <c r="F477" s="236">
        <f>0.2</f>
        <v>0.2</v>
      </c>
      <c r="G477" s="236"/>
      <c r="H477" s="236">
        <v>1.66</v>
      </c>
      <c r="I477" s="235">
        <v>1</v>
      </c>
      <c r="J477" s="237"/>
      <c r="K477" s="237">
        <f t="shared" si="27"/>
        <v>0.33200000000000002</v>
      </c>
      <c r="L477" s="111"/>
      <c r="M477" s="111"/>
      <c r="N477" s="111"/>
      <c r="O477" s="111"/>
    </row>
    <row r="478" spans="2:15" x14ac:dyDescent="0.3">
      <c r="B478" s="114"/>
      <c r="C478" s="233" t="s">
        <v>817</v>
      </c>
      <c r="D478" s="234" t="s">
        <v>0</v>
      </c>
      <c r="E478" s="235">
        <v>1</v>
      </c>
      <c r="F478" s="236">
        <v>0.2</v>
      </c>
      <c r="G478" s="236"/>
      <c r="H478" s="236">
        <v>1.63</v>
      </c>
      <c r="I478" s="235">
        <v>1</v>
      </c>
      <c r="J478" s="237"/>
      <c r="K478" s="237">
        <f t="shared" si="27"/>
        <v>0.32600000000000001</v>
      </c>
      <c r="L478" s="111"/>
      <c r="M478" s="111"/>
      <c r="N478" s="111"/>
      <c r="O478" s="111"/>
    </row>
    <row r="479" spans="2:15" x14ac:dyDescent="0.3">
      <c r="B479" s="114"/>
      <c r="C479" s="115" t="s">
        <v>773</v>
      </c>
      <c r="D479" s="121"/>
      <c r="E479" s="3"/>
      <c r="F479" s="122" t="s">
        <v>198</v>
      </c>
      <c r="G479" s="122"/>
      <c r="H479" s="122"/>
      <c r="I479" s="3"/>
      <c r="J479" s="113"/>
      <c r="K479" s="113"/>
      <c r="L479" s="111"/>
      <c r="M479" s="111"/>
      <c r="N479" s="111"/>
      <c r="O479" s="111"/>
    </row>
    <row r="480" spans="2:15" x14ac:dyDescent="0.3">
      <c r="B480" s="114"/>
      <c r="C480" s="233" t="s">
        <v>774</v>
      </c>
      <c r="D480" s="234" t="s">
        <v>0</v>
      </c>
      <c r="E480" s="235">
        <v>1</v>
      </c>
      <c r="F480" s="236">
        <f>0.1+0.4</f>
        <v>0.5</v>
      </c>
      <c r="G480" s="236"/>
      <c r="H480" s="236">
        <v>3.29</v>
      </c>
      <c r="I480" s="235">
        <v>1</v>
      </c>
      <c r="J480" s="237"/>
      <c r="K480" s="237">
        <f t="shared" ref="K480:K539" si="28">IF(E480="","",PRODUCT(E480:I480))</f>
        <v>1.645</v>
      </c>
      <c r="L480" s="111"/>
      <c r="M480" s="111"/>
      <c r="N480" s="111"/>
      <c r="O480" s="111"/>
    </row>
    <row r="481" spans="2:15" x14ac:dyDescent="0.3">
      <c r="B481" s="114"/>
      <c r="C481" s="233" t="s">
        <v>717</v>
      </c>
      <c r="D481" s="234" t="s">
        <v>0</v>
      </c>
      <c r="E481" s="235">
        <v>1</v>
      </c>
      <c r="F481" s="236">
        <f>0.1+0.2</f>
        <v>0.30000000000000004</v>
      </c>
      <c r="G481" s="236"/>
      <c r="H481" s="236">
        <v>2.2000000000000002</v>
      </c>
      <c r="I481" s="235">
        <v>1</v>
      </c>
      <c r="J481" s="237"/>
      <c r="K481" s="237">
        <f t="shared" si="28"/>
        <v>0.66000000000000014</v>
      </c>
      <c r="L481" s="111"/>
      <c r="M481" s="111"/>
      <c r="N481" s="111"/>
      <c r="O481" s="111"/>
    </row>
    <row r="482" spans="2:15" x14ac:dyDescent="0.3">
      <c r="B482" s="114"/>
      <c r="C482" s="233" t="s">
        <v>775</v>
      </c>
      <c r="D482" s="234" t="s">
        <v>0</v>
      </c>
      <c r="E482" s="235">
        <v>1</v>
      </c>
      <c r="F482" s="236">
        <f>0.25+0.2</f>
        <v>0.45</v>
      </c>
      <c r="G482" s="236"/>
      <c r="H482" s="236">
        <f>2.83+1</f>
        <v>3.83</v>
      </c>
      <c r="I482" s="235">
        <v>1</v>
      </c>
      <c r="J482" s="237"/>
      <c r="K482" s="237">
        <f t="shared" si="28"/>
        <v>1.7235</v>
      </c>
      <c r="L482" s="111"/>
      <c r="M482" s="111"/>
      <c r="N482" s="111"/>
      <c r="O482" s="111"/>
    </row>
    <row r="483" spans="2:15" x14ac:dyDescent="0.3">
      <c r="B483" s="114"/>
      <c r="C483" s="233" t="s">
        <v>776</v>
      </c>
      <c r="D483" s="234" t="s">
        <v>0</v>
      </c>
      <c r="E483" s="235">
        <v>1</v>
      </c>
      <c r="F483" s="236">
        <f>0.25+0.2+0.2</f>
        <v>0.65</v>
      </c>
      <c r="G483" s="236"/>
      <c r="H483" s="236">
        <v>2.63</v>
      </c>
      <c r="I483" s="235">
        <v>1</v>
      </c>
      <c r="J483" s="237"/>
      <c r="K483" s="237">
        <f t="shared" si="28"/>
        <v>1.7095</v>
      </c>
      <c r="L483" s="111"/>
      <c r="M483" s="111"/>
      <c r="N483" s="111"/>
      <c r="O483" s="111"/>
    </row>
    <row r="484" spans="2:15" x14ac:dyDescent="0.3">
      <c r="B484" s="114"/>
      <c r="C484" s="233" t="s">
        <v>777</v>
      </c>
      <c r="D484" s="234" t="s">
        <v>0</v>
      </c>
      <c r="E484" s="235">
        <v>1</v>
      </c>
      <c r="F484" s="236">
        <f>0.25+0.2</f>
        <v>0.45</v>
      </c>
      <c r="G484" s="236"/>
      <c r="H484" s="236">
        <v>2.63</v>
      </c>
      <c r="I484" s="235">
        <v>1</v>
      </c>
      <c r="J484" s="237"/>
      <c r="K484" s="237">
        <f t="shared" si="28"/>
        <v>1.1835</v>
      </c>
      <c r="L484" s="111"/>
      <c r="M484" s="111"/>
      <c r="N484" s="111"/>
      <c r="O484" s="111"/>
    </row>
    <row r="485" spans="2:15" x14ac:dyDescent="0.3">
      <c r="B485" s="106"/>
      <c r="C485" s="233" t="s">
        <v>778</v>
      </c>
      <c r="D485" s="234" t="s">
        <v>0</v>
      </c>
      <c r="E485" s="235">
        <v>1</v>
      </c>
      <c r="F485" s="236">
        <f>0.2+0.15</f>
        <v>0.35</v>
      </c>
      <c r="G485" s="236"/>
      <c r="H485" s="236">
        <v>5.45</v>
      </c>
      <c r="I485" s="235">
        <v>1</v>
      </c>
      <c r="J485" s="237"/>
      <c r="K485" s="237">
        <f t="shared" si="28"/>
        <v>1.9075</v>
      </c>
      <c r="L485" s="113"/>
      <c r="M485" s="113"/>
      <c r="N485" s="113"/>
      <c r="O485" s="113"/>
    </row>
    <row r="486" spans="2:15" x14ac:dyDescent="0.3">
      <c r="B486" s="114"/>
      <c r="C486" s="233" t="s">
        <v>779</v>
      </c>
      <c r="D486" s="234" t="s">
        <v>0</v>
      </c>
      <c r="E486" s="235">
        <v>1</v>
      </c>
      <c r="F486" s="236">
        <f>0.25+0.2+0.2</f>
        <v>0.65</v>
      </c>
      <c r="G486" s="236"/>
      <c r="H486" s="236">
        <v>4.25</v>
      </c>
      <c r="I486" s="235">
        <v>1</v>
      </c>
      <c r="J486" s="237"/>
      <c r="K486" s="237">
        <f t="shared" si="28"/>
        <v>2.7625000000000002</v>
      </c>
      <c r="L486" s="111"/>
      <c r="M486" s="111"/>
      <c r="N486" s="111"/>
      <c r="O486" s="111"/>
    </row>
    <row r="487" spans="2:15" x14ac:dyDescent="0.3">
      <c r="B487" s="114"/>
      <c r="C487" s="233" t="s">
        <v>780</v>
      </c>
      <c r="D487" s="234" t="s">
        <v>0</v>
      </c>
      <c r="E487" s="235">
        <v>1</v>
      </c>
      <c r="F487" s="236">
        <f>0.1+0.2</f>
        <v>0.30000000000000004</v>
      </c>
      <c r="G487" s="236"/>
      <c r="H487" s="236">
        <v>4.25</v>
      </c>
      <c r="I487" s="235">
        <v>1</v>
      </c>
      <c r="J487" s="237"/>
      <c r="K487" s="237">
        <f t="shared" si="28"/>
        <v>1.2750000000000001</v>
      </c>
      <c r="L487" s="111"/>
      <c r="M487" s="111"/>
      <c r="N487" s="111"/>
      <c r="O487" s="111"/>
    </row>
    <row r="488" spans="2:15" x14ac:dyDescent="0.3">
      <c r="B488" s="114"/>
      <c r="C488" s="233" t="s">
        <v>781</v>
      </c>
      <c r="D488" s="234" t="s">
        <v>0</v>
      </c>
      <c r="E488" s="235">
        <v>1</v>
      </c>
      <c r="F488" s="236">
        <f>0.1+0.2+0.2</f>
        <v>0.5</v>
      </c>
      <c r="G488" s="236"/>
      <c r="H488" s="236">
        <v>2.2000000000000002</v>
      </c>
      <c r="I488" s="235">
        <v>1</v>
      </c>
      <c r="J488" s="237"/>
      <c r="K488" s="237">
        <f t="shared" si="28"/>
        <v>1.1000000000000001</v>
      </c>
      <c r="L488" s="111"/>
      <c r="M488" s="111"/>
      <c r="N488" s="111"/>
      <c r="O488" s="111"/>
    </row>
    <row r="489" spans="2:15" x14ac:dyDescent="0.3">
      <c r="B489" s="114"/>
      <c r="C489" s="233" t="s">
        <v>782</v>
      </c>
      <c r="D489" s="234" t="s">
        <v>0</v>
      </c>
      <c r="E489" s="235">
        <v>1</v>
      </c>
      <c r="F489" s="236">
        <f>0.1+0.2+0.2</f>
        <v>0.5</v>
      </c>
      <c r="G489" s="236"/>
      <c r="H489" s="236">
        <v>5.63</v>
      </c>
      <c r="I489" s="235">
        <v>1</v>
      </c>
      <c r="J489" s="237"/>
      <c r="K489" s="237">
        <f t="shared" si="28"/>
        <v>2.8149999999999999</v>
      </c>
      <c r="L489" s="111"/>
      <c r="M489" s="111"/>
      <c r="N489" s="111"/>
      <c r="O489" s="111"/>
    </row>
    <row r="490" spans="2:15" x14ac:dyDescent="0.3">
      <c r="B490" s="114"/>
      <c r="C490" s="233" t="s">
        <v>783</v>
      </c>
      <c r="D490" s="234" t="s">
        <v>0</v>
      </c>
      <c r="E490" s="235">
        <v>1</v>
      </c>
      <c r="F490" s="236">
        <f>0.25+0.2+0.2</f>
        <v>0.65</v>
      </c>
      <c r="G490" s="236"/>
      <c r="H490" s="236">
        <v>1.2</v>
      </c>
      <c r="I490" s="235">
        <v>1</v>
      </c>
      <c r="J490" s="237"/>
      <c r="K490" s="237">
        <f t="shared" si="28"/>
        <v>0.78</v>
      </c>
      <c r="L490" s="111"/>
      <c r="M490" s="111"/>
      <c r="N490" s="111"/>
      <c r="O490" s="111"/>
    </row>
    <row r="491" spans="2:15" x14ac:dyDescent="0.3">
      <c r="B491" s="114"/>
      <c r="C491" s="233"/>
      <c r="D491" s="234" t="s">
        <v>0</v>
      </c>
      <c r="E491" s="235">
        <v>1</v>
      </c>
      <c r="F491" s="236">
        <f>0.1+0.2+0.2</f>
        <v>0.5</v>
      </c>
      <c r="G491" s="236"/>
      <c r="H491" s="236">
        <v>1</v>
      </c>
      <c r="I491" s="235">
        <v>1</v>
      </c>
      <c r="J491" s="237"/>
      <c r="K491" s="237">
        <f t="shared" si="28"/>
        <v>0.5</v>
      </c>
      <c r="L491" s="111"/>
      <c r="M491" s="111"/>
      <c r="N491" s="111"/>
      <c r="O491" s="111"/>
    </row>
    <row r="492" spans="2:15" x14ac:dyDescent="0.3">
      <c r="B492" s="114"/>
      <c r="C492" s="233" t="s">
        <v>784</v>
      </c>
      <c r="D492" s="234" t="s">
        <v>0</v>
      </c>
      <c r="E492" s="235">
        <v>1</v>
      </c>
      <c r="F492" s="236">
        <f>0.1+0.2+0.2</f>
        <v>0.5</v>
      </c>
      <c r="G492" s="236"/>
      <c r="H492" s="236">
        <v>5.69</v>
      </c>
      <c r="I492" s="235">
        <v>1</v>
      </c>
      <c r="J492" s="237"/>
      <c r="K492" s="237">
        <f t="shared" si="28"/>
        <v>2.8450000000000002</v>
      </c>
      <c r="L492" s="111"/>
      <c r="M492" s="111"/>
      <c r="N492" s="111"/>
      <c r="O492" s="111"/>
    </row>
    <row r="493" spans="2:15" x14ac:dyDescent="0.3">
      <c r="B493" s="114"/>
      <c r="C493" s="233" t="s">
        <v>785</v>
      </c>
      <c r="D493" s="234" t="s">
        <v>0</v>
      </c>
      <c r="E493" s="235">
        <v>1</v>
      </c>
      <c r="F493" s="236">
        <f>0.25+0.2</f>
        <v>0.45</v>
      </c>
      <c r="G493" s="236"/>
      <c r="H493" s="236">
        <v>4.3499999999999996</v>
      </c>
      <c r="I493" s="235">
        <v>1</v>
      </c>
      <c r="J493" s="237"/>
      <c r="K493" s="237">
        <f t="shared" si="28"/>
        <v>1.9574999999999998</v>
      </c>
      <c r="L493" s="111"/>
      <c r="M493" s="111"/>
      <c r="N493" s="111"/>
      <c r="O493" s="111"/>
    </row>
    <row r="494" spans="2:15" x14ac:dyDescent="0.3">
      <c r="B494" s="114"/>
      <c r="C494" s="233" t="s">
        <v>786</v>
      </c>
      <c r="D494" s="234" t="s">
        <v>0</v>
      </c>
      <c r="E494" s="235">
        <v>1</v>
      </c>
      <c r="F494" s="236">
        <f>0.25+0.2+0.2</f>
        <v>0.65</v>
      </c>
      <c r="G494" s="236"/>
      <c r="H494" s="236">
        <v>3.84</v>
      </c>
      <c r="I494" s="235">
        <v>1</v>
      </c>
      <c r="J494" s="237"/>
      <c r="K494" s="237">
        <f t="shared" si="28"/>
        <v>2.496</v>
      </c>
      <c r="L494" s="111"/>
      <c r="M494" s="111"/>
      <c r="N494" s="111"/>
      <c r="O494" s="111"/>
    </row>
    <row r="495" spans="2:15" x14ac:dyDescent="0.3">
      <c r="B495" s="114"/>
      <c r="C495" s="233"/>
      <c r="D495" s="234" t="s">
        <v>0</v>
      </c>
      <c r="E495" s="235">
        <v>1</v>
      </c>
      <c r="F495" s="236">
        <f>0.1+0.2+0.2</f>
        <v>0.5</v>
      </c>
      <c r="G495" s="236"/>
      <c r="H495" s="236">
        <v>0.51</v>
      </c>
      <c r="I495" s="235">
        <v>1</v>
      </c>
      <c r="J495" s="237"/>
      <c r="K495" s="237">
        <f t="shared" si="28"/>
        <v>0.255</v>
      </c>
      <c r="L495" s="111"/>
      <c r="M495" s="111"/>
      <c r="N495" s="111"/>
      <c r="O495" s="111"/>
    </row>
    <row r="496" spans="2:15" x14ac:dyDescent="0.3">
      <c r="B496" s="114"/>
      <c r="C496" s="233" t="s">
        <v>787</v>
      </c>
      <c r="D496" s="234" t="s">
        <v>0</v>
      </c>
      <c r="E496" s="235">
        <v>1</v>
      </c>
      <c r="F496" s="236">
        <f>0.1+0.2</f>
        <v>0.30000000000000004</v>
      </c>
      <c r="G496" s="236"/>
      <c r="H496" s="236">
        <v>2.2999999999999998</v>
      </c>
      <c r="I496" s="235">
        <v>1</v>
      </c>
      <c r="J496" s="237"/>
      <c r="K496" s="237">
        <f t="shared" si="28"/>
        <v>0.69000000000000006</v>
      </c>
      <c r="L496" s="111"/>
      <c r="M496" s="111"/>
      <c r="N496" s="111"/>
      <c r="O496" s="111"/>
    </row>
    <row r="497" spans="2:15" x14ac:dyDescent="0.3">
      <c r="B497" s="114"/>
      <c r="C497" s="233"/>
      <c r="D497" s="234" t="s">
        <v>0</v>
      </c>
      <c r="E497" s="235">
        <v>1</v>
      </c>
      <c r="F497" s="236">
        <f>0.1+0.2</f>
        <v>0.30000000000000004</v>
      </c>
      <c r="G497" s="236"/>
      <c r="H497" s="236">
        <v>0.5</v>
      </c>
      <c r="I497" s="235">
        <v>1</v>
      </c>
      <c r="J497" s="237"/>
      <c r="K497" s="237">
        <f t="shared" si="28"/>
        <v>0.15000000000000002</v>
      </c>
      <c r="L497" s="111"/>
      <c r="M497" s="111"/>
      <c r="N497" s="111"/>
      <c r="O497" s="111"/>
    </row>
    <row r="498" spans="2:15" x14ac:dyDescent="0.3">
      <c r="B498" s="114"/>
      <c r="C498" s="233"/>
      <c r="D498" s="234" t="s">
        <v>0</v>
      </c>
      <c r="E498" s="235">
        <v>1</v>
      </c>
      <c r="F498" s="236">
        <f>0.25+0.2+0.2</f>
        <v>0.65</v>
      </c>
      <c r="G498" s="236"/>
      <c r="H498" s="236">
        <v>1.55</v>
      </c>
      <c r="I498" s="235">
        <v>1</v>
      </c>
      <c r="J498" s="237"/>
      <c r="K498" s="237">
        <f t="shared" si="28"/>
        <v>1.0075000000000001</v>
      </c>
      <c r="L498" s="111"/>
      <c r="M498" s="111"/>
      <c r="N498" s="111"/>
      <c r="O498" s="111"/>
    </row>
    <row r="499" spans="2:15" x14ac:dyDescent="0.3">
      <c r="B499" s="114"/>
      <c r="C499" s="233" t="s">
        <v>788</v>
      </c>
      <c r="D499" s="234" t="s">
        <v>0</v>
      </c>
      <c r="E499" s="235">
        <v>1</v>
      </c>
      <c r="F499" s="236">
        <f>0.25+0.2+0.2</f>
        <v>0.65</v>
      </c>
      <c r="G499" s="236"/>
      <c r="H499" s="236">
        <v>2.2000000000000002</v>
      </c>
      <c r="I499" s="235">
        <v>1</v>
      </c>
      <c r="J499" s="237"/>
      <c r="K499" s="237">
        <f t="shared" si="28"/>
        <v>1.4300000000000002</v>
      </c>
      <c r="L499" s="111"/>
      <c r="M499" s="111"/>
      <c r="N499" s="111"/>
      <c r="O499" s="111"/>
    </row>
    <row r="500" spans="2:15" x14ac:dyDescent="0.3">
      <c r="B500" s="114"/>
      <c r="C500" s="233" t="s">
        <v>789</v>
      </c>
      <c r="D500" s="234" t="s">
        <v>0</v>
      </c>
      <c r="E500" s="235">
        <v>1</v>
      </c>
      <c r="F500" s="236">
        <f>0.25+0.2+0.2</f>
        <v>0.65</v>
      </c>
      <c r="G500" s="236"/>
      <c r="H500" s="236">
        <v>5.69</v>
      </c>
      <c r="I500" s="235">
        <v>1</v>
      </c>
      <c r="J500" s="237"/>
      <c r="K500" s="237">
        <f t="shared" si="28"/>
        <v>3.6985000000000006</v>
      </c>
      <c r="L500" s="111"/>
      <c r="M500" s="111"/>
      <c r="N500" s="111"/>
      <c r="O500" s="111"/>
    </row>
    <row r="501" spans="2:15" x14ac:dyDescent="0.3">
      <c r="B501" s="114"/>
      <c r="C501" s="233" t="s">
        <v>790</v>
      </c>
      <c r="D501" s="234" t="s">
        <v>0</v>
      </c>
      <c r="E501" s="235">
        <v>1</v>
      </c>
      <c r="F501" s="236">
        <f>0.25+0.2</f>
        <v>0.45</v>
      </c>
      <c r="G501" s="236"/>
      <c r="H501" s="236">
        <v>3.81</v>
      </c>
      <c r="I501" s="235">
        <v>1</v>
      </c>
      <c r="J501" s="237"/>
      <c r="K501" s="237">
        <f t="shared" si="28"/>
        <v>1.7145000000000001</v>
      </c>
      <c r="L501" s="111"/>
      <c r="M501" s="111"/>
      <c r="N501" s="111"/>
      <c r="O501" s="111"/>
    </row>
    <row r="502" spans="2:15" x14ac:dyDescent="0.3">
      <c r="B502" s="114"/>
      <c r="C502" s="233" t="s">
        <v>791</v>
      </c>
      <c r="D502" s="234" t="s">
        <v>0</v>
      </c>
      <c r="E502" s="235">
        <v>1</v>
      </c>
      <c r="F502" s="236">
        <f>0.25+0.2+0.2</f>
        <v>0.65</v>
      </c>
      <c r="G502" s="236"/>
      <c r="H502" s="236">
        <v>3.81</v>
      </c>
      <c r="I502" s="235">
        <v>1</v>
      </c>
      <c r="J502" s="237"/>
      <c r="K502" s="237">
        <f t="shared" si="28"/>
        <v>2.4765000000000001</v>
      </c>
      <c r="L502" s="111"/>
      <c r="M502" s="111"/>
      <c r="N502" s="111"/>
      <c r="O502" s="111"/>
    </row>
    <row r="503" spans="2:15" x14ac:dyDescent="0.3">
      <c r="B503" s="114"/>
      <c r="C503" s="233" t="s">
        <v>792</v>
      </c>
      <c r="D503" s="234" t="s">
        <v>0</v>
      </c>
      <c r="E503" s="235">
        <v>1</v>
      </c>
      <c r="F503" s="236">
        <f>0.1+0.2</f>
        <v>0.30000000000000004</v>
      </c>
      <c r="G503" s="236"/>
      <c r="H503" s="236">
        <v>2.2999999999999998</v>
      </c>
      <c r="I503" s="235">
        <v>1</v>
      </c>
      <c r="J503" s="237"/>
      <c r="K503" s="237">
        <f t="shared" si="28"/>
        <v>0.69000000000000006</v>
      </c>
      <c r="L503" s="111"/>
      <c r="M503" s="111"/>
      <c r="N503" s="111"/>
      <c r="O503" s="111"/>
    </row>
    <row r="504" spans="2:15" x14ac:dyDescent="0.3">
      <c r="B504" s="114"/>
      <c r="C504" s="233"/>
      <c r="D504" s="234" t="s">
        <v>0</v>
      </c>
      <c r="E504" s="235">
        <v>1</v>
      </c>
      <c r="F504" s="236">
        <f>0.1+0.2</f>
        <v>0.30000000000000004</v>
      </c>
      <c r="G504" s="236"/>
      <c r="H504" s="236">
        <v>1.5</v>
      </c>
      <c r="I504" s="235">
        <v>1</v>
      </c>
      <c r="J504" s="237"/>
      <c r="K504" s="237">
        <f t="shared" si="28"/>
        <v>0.45000000000000007</v>
      </c>
      <c r="L504" s="111"/>
      <c r="M504" s="111"/>
      <c r="N504" s="111"/>
      <c r="O504" s="111"/>
    </row>
    <row r="505" spans="2:15" x14ac:dyDescent="0.3">
      <c r="B505" s="114"/>
      <c r="C505" s="233" t="s">
        <v>793</v>
      </c>
      <c r="D505" s="234" t="s">
        <v>0</v>
      </c>
      <c r="E505" s="235">
        <v>1</v>
      </c>
      <c r="F505" s="236">
        <f>0.25+0.2+0.2</f>
        <v>0.65</v>
      </c>
      <c r="G505" s="236"/>
      <c r="H505" s="236">
        <v>2.1</v>
      </c>
      <c r="I505" s="235">
        <v>1</v>
      </c>
      <c r="J505" s="237"/>
      <c r="K505" s="237">
        <f t="shared" si="28"/>
        <v>1.3650000000000002</v>
      </c>
      <c r="L505" s="111"/>
      <c r="M505" s="111"/>
      <c r="N505" s="111"/>
      <c r="O505" s="111"/>
    </row>
    <row r="506" spans="2:15" x14ac:dyDescent="0.3">
      <c r="B506" s="114"/>
      <c r="C506" s="233" t="s">
        <v>794</v>
      </c>
      <c r="D506" s="234" t="s">
        <v>0</v>
      </c>
      <c r="E506" s="235">
        <v>1</v>
      </c>
      <c r="F506" s="236">
        <f>0.25+0.2+0.2</f>
        <v>0.65</v>
      </c>
      <c r="G506" s="236"/>
      <c r="H506" s="236">
        <v>5.69</v>
      </c>
      <c r="I506" s="235">
        <v>1</v>
      </c>
      <c r="J506" s="237"/>
      <c r="K506" s="237">
        <f t="shared" si="28"/>
        <v>3.6985000000000006</v>
      </c>
      <c r="L506" s="111"/>
      <c r="M506" s="111"/>
      <c r="N506" s="111"/>
      <c r="O506" s="111"/>
    </row>
    <row r="507" spans="2:15" x14ac:dyDescent="0.3">
      <c r="B507" s="114"/>
      <c r="C507" s="233" t="s">
        <v>795</v>
      </c>
      <c r="D507" s="234" t="s">
        <v>0</v>
      </c>
      <c r="E507" s="235">
        <v>1</v>
      </c>
      <c r="F507" s="236">
        <f>0.25+0.2</f>
        <v>0.45</v>
      </c>
      <c r="G507" s="236"/>
      <c r="H507" s="236">
        <v>4.34</v>
      </c>
      <c r="I507" s="235">
        <v>1</v>
      </c>
      <c r="J507" s="237"/>
      <c r="K507" s="237">
        <f t="shared" si="28"/>
        <v>1.9530000000000001</v>
      </c>
      <c r="L507" s="111"/>
      <c r="M507" s="111"/>
      <c r="N507" s="111"/>
      <c r="O507" s="111"/>
    </row>
    <row r="508" spans="2:15" x14ac:dyDescent="0.3">
      <c r="B508" s="114"/>
      <c r="C508" s="233" t="s">
        <v>796</v>
      </c>
      <c r="D508" s="234" t="s">
        <v>0</v>
      </c>
      <c r="E508" s="235">
        <v>1</v>
      </c>
      <c r="F508" s="236">
        <f>0.1+0.2+0.2</f>
        <v>0.5</v>
      </c>
      <c r="G508" s="236"/>
      <c r="H508" s="236">
        <v>1.47</v>
      </c>
      <c r="I508" s="235">
        <v>1</v>
      </c>
      <c r="J508" s="237"/>
      <c r="K508" s="237">
        <f t="shared" si="28"/>
        <v>0.73499999999999999</v>
      </c>
      <c r="L508" s="111"/>
      <c r="M508" s="111"/>
      <c r="N508" s="111"/>
      <c r="O508" s="111"/>
    </row>
    <row r="509" spans="2:15" x14ac:dyDescent="0.3">
      <c r="B509" s="114"/>
      <c r="C509" s="233"/>
      <c r="D509" s="234" t="s">
        <v>0</v>
      </c>
      <c r="E509" s="235">
        <v>1</v>
      </c>
      <c r="F509" s="236">
        <f>0.25+0.2+0.2</f>
        <v>0.65</v>
      </c>
      <c r="G509" s="236"/>
      <c r="H509" s="236">
        <v>2.87</v>
      </c>
      <c r="I509" s="235">
        <v>1</v>
      </c>
      <c r="J509" s="237"/>
      <c r="K509" s="237">
        <f t="shared" si="28"/>
        <v>1.8655000000000002</v>
      </c>
      <c r="L509" s="111"/>
      <c r="M509" s="111"/>
      <c r="N509" s="111"/>
      <c r="O509" s="111"/>
    </row>
    <row r="510" spans="2:15" x14ac:dyDescent="0.3">
      <c r="B510" s="114"/>
      <c r="C510" s="233" t="s">
        <v>797</v>
      </c>
      <c r="D510" s="234" t="s">
        <v>0</v>
      </c>
      <c r="E510" s="235">
        <v>1</v>
      </c>
      <c r="F510" s="236">
        <f>0.1+0.2</f>
        <v>0.30000000000000004</v>
      </c>
      <c r="G510" s="236"/>
      <c r="H510" s="236">
        <v>1.47</v>
      </c>
      <c r="I510" s="235">
        <v>1</v>
      </c>
      <c r="J510" s="237"/>
      <c r="K510" s="237">
        <f t="shared" si="28"/>
        <v>0.44100000000000006</v>
      </c>
      <c r="L510" s="111"/>
      <c r="M510" s="111"/>
      <c r="N510" s="111"/>
      <c r="O510" s="111"/>
    </row>
    <row r="511" spans="2:15" x14ac:dyDescent="0.3">
      <c r="B511" s="114"/>
      <c r="C511" s="280"/>
      <c r="D511" s="234" t="s">
        <v>0</v>
      </c>
      <c r="E511" s="235">
        <v>1</v>
      </c>
      <c r="F511" s="236">
        <f>0.1+0.2</f>
        <v>0.30000000000000004</v>
      </c>
      <c r="G511" s="236"/>
      <c r="H511" s="236">
        <v>1.33</v>
      </c>
      <c r="I511" s="235">
        <v>1</v>
      </c>
      <c r="J511" s="237"/>
      <c r="K511" s="237">
        <f t="shared" si="28"/>
        <v>0.39900000000000008</v>
      </c>
      <c r="L511" s="111"/>
      <c r="M511" s="111"/>
      <c r="N511" s="111"/>
      <c r="O511" s="111"/>
    </row>
    <row r="512" spans="2:15" x14ac:dyDescent="0.3">
      <c r="B512" s="114"/>
      <c r="C512" s="280"/>
      <c r="D512" s="234" t="s">
        <v>0</v>
      </c>
      <c r="E512" s="235">
        <v>1</v>
      </c>
      <c r="F512" s="236">
        <f>0.25+0.2</f>
        <v>0.45</v>
      </c>
      <c r="G512" s="236"/>
      <c r="H512" s="236">
        <v>1.56</v>
      </c>
      <c r="I512" s="235">
        <v>1</v>
      </c>
      <c r="J512" s="237"/>
      <c r="K512" s="237">
        <f t="shared" si="28"/>
        <v>0.70200000000000007</v>
      </c>
      <c r="L512" s="111"/>
      <c r="M512" s="111"/>
      <c r="N512" s="111"/>
      <c r="O512" s="111"/>
    </row>
    <row r="513" spans="2:15" x14ac:dyDescent="0.3">
      <c r="B513" s="114"/>
      <c r="C513" s="233" t="s">
        <v>798</v>
      </c>
      <c r="D513" s="234" t="s">
        <v>0</v>
      </c>
      <c r="E513" s="235">
        <v>1</v>
      </c>
      <c r="F513" s="236">
        <f>0.25+0.2+0.2</f>
        <v>0.65</v>
      </c>
      <c r="G513" s="236"/>
      <c r="H513" s="236">
        <v>2.1</v>
      </c>
      <c r="I513" s="235">
        <v>1</v>
      </c>
      <c r="J513" s="237"/>
      <c r="K513" s="237">
        <f t="shared" si="28"/>
        <v>1.3650000000000002</v>
      </c>
      <c r="L513" s="111"/>
      <c r="M513" s="111"/>
      <c r="N513" s="111"/>
      <c r="O513" s="111"/>
    </row>
    <row r="514" spans="2:15" x14ac:dyDescent="0.3">
      <c r="B514" s="114"/>
      <c r="C514" s="233" t="s">
        <v>799</v>
      </c>
      <c r="D514" s="234" t="s">
        <v>0</v>
      </c>
      <c r="E514" s="235">
        <v>1</v>
      </c>
      <c r="F514" s="236">
        <f>0.25+0.2+0.2</f>
        <v>0.65</v>
      </c>
      <c r="G514" s="236"/>
      <c r="H514" s="236">
        <v>1.2</v>
      </c>
      <c r="I514" s="235">
        <v>1</v>
      </c>
      <c r="J514" s="237"/>
      <c r="K514" s="237">
        <f t="shared" si="28"/>
        <v>0.78</v>
      </c>
      <c r="L514" s="111"/>
      <c r="M514" s="111"/>
      <c r="N514" s="111"/>
      <c r="O514" s="111"/>
    </row>
    <row r="515" spans="2:15" x14ac:dyDescent="0.3">
      <c r="B515" s="114"/>
      <c r="C515" s="233"/>
      <c r="D515" s="234" t="s">
        <v>0</v>
      </c>
      <c r="E515" s="235">
        <v>1</v>
      </c>
      <c r="F515" s="236">
        <f>0.1+0.2+0.2</f>
        <v>0.5</v>
      </c>
      <c r="G515" s="236"/>
      <c r="H515" s="236">
        <v>4.49</v>
      </c>
      <c r="I515" s="235">
        <v>1</v>
      </c>
      <c r="J515" s="237"/>
      <c r="K515" s="237">
        <f t="shared" si="28"/>
        <v>2.2450000000000001</v>
      </c>
      <c r="L515" s="111"/>
      <c r="M515" s="111"/>
      <c r="N515" s="111"/>
      <c r="O515" s="111"/>
    </row>
    <row r="516" spans="2:15" x14ac:dyDescent="0.3">
      <c r="B516" s="114"/>
      <c r="C516" s="233" t="s">
        <v>800</v>
      </c>
      <c r="D516" s="234" t="s">
        <v>0</v>
      </c>
      <c r="E516" s="235">
        <v>1</v>
      </c>
      <c r="F516" s="236">
        <f>0.25+0.2</f>
        <v>0.45</v>
      </c>
      <c r="G516" s="236"/>
      <c r="H516" s="236">
        <v>3.78</v>
      </c>
      <c r="I516" s="235">
        <v>1</v>
      </c>
      <c r="J516" s="237"/>
      <c r="K516" s="237">
        <f t="shared" si="28"/>
        <v>1.7009999999999998</v>
      </c>
      <c r="L516" s="111"/>
      <c r="M516" s="111"/>
      <c r="N516" s="111"/>
      <c r="O516" s="111"/>
    </row>
    <row r="517" spans="2:15" x14ac:dyDescent="0.3">
      <c r="B517" s="114"/>
      <c r="C517" s="233" t="s">
        <v>801</v>
      </c>
      <c r="D517" s="234" t="s">
        <v>0</v>
      </c>
      <c r="E517" s="235">
        <v>1</v>
      </c>
      <c r="F517" s="236">
        <f>0.25+0.2+0.2</f>
        <v>0.65</v>
      </c>
      <c r="G517" s="236"/>
      <c r="H517" s="236">
        <f>1.5+2.28</f>
        <v>3.78</v>
      </c>
      <c r="I517" s="235">
        <v>1</v>
      </c>
      <c r="J517" s="237"/>
      <c r="K517" s="237">
        <f t="shared" si="28"/>
        <v>2.4569999999999999</v>
      </c>
      <c r="L517" s="111"/>
      <c r="M517" s="111"/>
      <c r="N517" s="111"/>
      <c r="O517" s="111"/>
    </row>
    <row r="518" spans="2:15" x14ac:dyDescent="0.3">
      <c r="B518" s="114"/>
      <c r="C518" s="233" t="s">
        <v>802</v>
      </c>
      <c r="D518" s="234" t="s">
        <v>0</v>
      </c>
      <c r="E518" s="235">
        <v>1</v>
      </c>
      <c r="F518" s="236">
        <f>0.1+0.2</f>
        <v>0.30000000000000004</v>
      </c>
      <c r="G518" s="236"/>
      <c r="H518" s="236">
        <v>2.2799999999999998</v>
      </c>
      <c r="I518" s="235">
        <v>1</v>
      </c>
      <c r="J518" s="237"/>
      <c r="K518" s="237">
        <f t="shared" si="28"/>
        <v>0.68400000000000005</v>
      </c>
      <c r="L518" s="111"/>
      <c r="M518" s="111"/>
      <c r="N518" s="111"/>
      <c r="O518" s="111"/>
    </row>
    <row r="519" spans="2:15" x14ac:dyDescent="0.3">
      <c r="B519" s="114"/>
      <c r="C519" s="280"/>
      <c r="D519" s="234" t="s">
        <v>0</v>
      </c>
      <c r="E519" s="235">
        <v>1</v>
      </c>
      <c r="F519" s="236">
        <f>0.25+0.2</f>
        <v>0.45</v>
      </c>
      <c r="G519" s="236"/>
      <c r="H519" s="236">
        <v>1.5</v>
      </c>
      <c r="I519" s="235">
        <v>1</v>
      </c>
      <c r="J519" s="237"/>
      <c r="K519" s="237">
        <f t="shared" si="28"/>
        <v>0.67500000000000004</v>
      </c>
      <c r="L519" s="111"/>
      <c r="M519" s="111"/>
      <c r="N519" s="111"/>
      <c r="O519" s="111"/>
    </row>
    <row r="520" spans="2:15" x14ac:dyDescent="0.3">
      <c r="B520" s="114"/>
      <c r="C520" s="233" t="s">
        <v>803</v>
      </c>
      <c r="D520" s="234" t="s">
        <v>0</v>
      </c>
      <c r="E520" s="235">
        <v>1</v>
      </c>
      <c r="F520" s="236">
        <f>0.25+0.2+0.2</f>
        <v>0.65</v>
      </c>
      <c r="G520" s="236"/>
      <c r="H520" s="236">
        <v>2.2000000000000002</v>
      </c>
      <c r="I520" s="235">
        <v>1</v>
      </c>
      <c r="J520" s="237"/>
      <c r="K520" s="237">
        <f t="shared" si="28"/>
        <v>1.4300000000000002</v>
      </c>
      <c r="L520" s="111"/>
      <c r="M520" s="111"/>
      <c r="N520" s="111"/>
      <c r="O520" s="111"/>
    </row>
    <row r="521" spans="2:15" x14ac:dyDescent="0.3">
      <c r="B521" s="114"/>
      <c r="C521" s="233" t="s">
        <v>804</v>
      </c>
      <c r="D521" s="234" t="s">
        <v>0</v>
      </c>
      <c r="E521" s="235">
        <v>1</v>
      </c>
      <c r="F521" s="236">
        <f>0.25+0.2+0.2</f>
        <v>0.65</v>
      </c>
      <c r="G521" s="236"/>
      <c r="H521" s="236">
        <v>5.69</v>
      </c>
      <c r="I521" s="235">
        <v>1</v>
      </c>
      <c r="J521" s="237"/>
      <c r="K521" s="237">
        <f t="shared" si="28"/>
        <v>3.6985000000000006</v>
      </c>
      <c r="L521" s="111"/>
      <c r="M521" s="111"/>
      <c r="N521" s="111"/>
      <c r="O521" s="111"/>
    </row>
    <row r="522" spans="2:15" x14ac:dyDescent="0.3">
      <c r="B522" s="114"/>
      <c r="C522" s="233" t="s">
        <v>805</v>
      </c>
      <c r="D522" s="234" t="s">
        <v>0</v>
      </c>
      <c r="E522" s="235">
        <v>1</v>
      </c>
      <c r="F522" s="236">
        <f>0.25+0.2</f>
        <v>0.45</v>
      </c>
      <c r="G522" s="236"/>
      <c r="H522" s="236">
        <v>4.3600000000000003</v>
      </c>
      <c r="I522" s="235">
        <v>1</v>
      </c>
      <c r="J522" s="237"/>
      <c r="K522" s="237">
        <f t="shared" si="28"/>
        <v>1.9620000000000002</v>
      </c>
      <c r="L522" s="111"/>
      <c r="M522" s="111"/>
      <c r="N522" s="111"/>
      <c r="O522" s="111"/>
    </row>
    <row r="523" spans="2:15" x14ac:dyDescent="0.3">
      <c r="B523" s="114"/>
      <c r="C523" s="233" t="s">
        <v>806</v>
      </c>
      <c r="D523" s="234" t="s">
        <v>0</v>
      </c>
      <c r="E523" s="235">
        <v>1</v>
      </c>
      <c r="F523" s="236">
        <f>0.25+0.2+0.2</f>
        <v>0.65</v>
      </c>
      <c r="G523" s="236"/>
      <c r="H523" s="236">
        <f>1.63+1.53</f>
        <v>3.16</v>
      </c>
      <c r="I523" s="235">
        <v>1</v>
      </c>
      <c r="J523" s="237"/>
      <c r="K523" s="237">
        <f t="shared" si="28"/>
        <v>2.0540000000000003</v>
      </c>
      <c r="L523" s="111"/>
      <c r="M523" s="111"/>
      <c r="N523" s="111"/>
      <c r="O523" s="111"/>
    </row>
    <row r="524" spans="2:15" x14ac:dyDescent="0.3">
      <c r="B524" s="114"/>
      <c r="C524" s="233" t="s">
        <v>807</v>
      </c>
      <c r="D524" s="234" t="s">
        <v>0</v>
      </c>
      <c r="E524" s="235">
        <v>1</v>
      </c>
      <c r="F524" s="236">
        <f>0.1+0.2</f>
        <v>0.30000000000000004</v>
      </c>
      <c r="G524" s="236"/>
      <c r="H524" s="236">
        <v>1.63</v>
      </c>
      <c r="I524" s="235">
        <v>1</v>
      </c>
      <c r="J524" s="237"/>
      <c r="K524" s="237">
        <f t="shared" si="28"/>
        <v>0.48900000000000005</v>
      </c>
      <c r="L524" s="111"/>
      <c r="M524" s="111"/>
      <c r="N524" s="111"/>
      <c r="O524" s="111"/>
    </row>
    <row r="525" spans="2:15" x14ac:dyDescent="0.3">
      <c r="B525" s="114"/>
      <c r="C525" s="280"/>
      <c r="D525" s="234" t="s">
        <v>0</v>
      </c>
      <c r="E525" s="235">
        <v>1</v>
      </c>
      <c r="F525" s="236">
        <f>0.25+0.2</f>
        <v>0.45</v>
      </c>
      <c r="G525" s="236"/>
      <c r="H525" s="236">
        <v>1.53</v>
      </c>
      <c r="I525" s="235">
        <v>1</v>
      </c>
      <c r="J525" s="237"/>
      <c r="K525" s="237">
        <f t="shared" si="28"/>
        <v>0.6885</v>
      </c>
      <c r="L525" s="111"/>
      <c r="M525" s="111"/>
      <c r="N525" s="111"/>
      <c r="O525" s="111"/>
    </row>
    <row r="526" spans="2:15" x14ac:dyDescent="0.3">
      <c r="B526" s="114"/>
      <c r="C526" s="233" t="s">
        <v>808</v>
      </c>
      <c r="D526" s="234" t="s">
        <v>0</v>
      </c>
      <c r="E526" s="235">
        <v>1</v>
      </c>
      <c r="F526" s="236">
        <f>0.25+0.2+0.2</f>
        <v>0.65</v>
      </c>
      <c r="G526" s="236"/>
      <c r="H526" s="236">
        <v>2.2000000000000002</v>
      </c>
      <c r="I526" s="235">
        <v>1</v>
      </c>
      <c r="J526" s="237"/>
      <c r="K526" s="237">
        <f t="shared" si="28"/>
        <v>1.4300000000000002</v>
      </c>
      <c r="L526" s="111"/>
      <c r="M526" s="111"/>
      <c r="N526" s="111"/>
      <c r="O526" s="111"/>
    </row>
    <row r="527" spans="2:15" x14ac:dyDescent="0.3">
      <c r="B527" s="114"/>
      <c r="C527" s="233" t="s">
        <v>809</v>
      </c>
      <c r="D527" s="234" t="s">
        <v>0</v>
      </c>
      <c r="E527" s="235">
        <v>1</v>
      </c>
      <c r="F527" s="236">
        <f>0.25+0.2+0.2</f>
        <v>0.65</v>
      </c>
      <c r="G527" s="236"/>
      <c r="H527" s="236">
        <v>5.69</v>
      </c>
      <c r="I527" s="235">
        <v>1</v>
      </c>
      <c r="J527" s="237"/>
      <c r="K527" s="237">
        <f t="shared" si="28"/>
        <v>3.6985000000000006</v>
      </c>
      <c r="L527" s="111"/>
      <c r="M527" s="111"/>
      <c r="N527" s="111"/>
      <c r="O527" s="111"/>
    </row>
    <row r="528" spans="2:15" x14ac:dyDescent="0.3">
      <c r="B528" s="114"/>
      <c r="C528" s="233" t="s">
        <v>805</v>
      </c>
      <c r="D528" s="234" t="s">
        <v>0</v>
      </c>
      <c r="E528" s="235">
        <v>1</v>
      </c>
      <c r="F528" s="236">
        <f>0.25+0.2</f>
        <v>0.45</v>
      </c>
      <c r="G528" s="236"/>
      <c r="H528" s="236">
        <v>3.81</v>
      </c>
      <c r="I528" s="235">
        <v>1</v>
      </c>
      <c r="J528" s="237"/>
      <c r="K528" s="237">
        <f t="shared" si="28"/>
        <v>1.7145000000000001</v>
      </c>
      <c r="L528" s="111"/>
      <c r="M528" s="111"/>
      <c r="N528" s="111"/>
      <c r="O528" s="111"/>
    </row>
    <row r="529" spans="2:15" x14ac:dyDescent="0.3">
      <c r="B529" s="114"/>
      <c r="C529" s="233" t="s">
        <v>806</v>
      </c>
      <c r="D529" s="234" t="s">
        <v>0</v>
      </c>
      <c r="E529" s="235">
        <v>1</v>
      </c>
      <c r="F529" s="236">
        <f>0.25+0.2+0.2</f>
        <v>0.65</v>
      </c>
      <c r="G529" s="236"/>
      <c r="H529" s="236">
        <f>2.3+1.5</f>
        <v>3.8</v>
      </c>
      <c r="I529" s="235">
        <v>1</v>
      </c>
      <c r="J529" s="237"/>
      <c r="K529" s="237">
        <f t="shared" si="28"/>
        <v>2.4699999999999998</v>
      </c>
      <c r="L529" s="111"/>
      <c r="M529" s="111"/>
      <c r="N529" s="111"/>
      <c r="O529" s="111"/>
    </row>
    <row r="530" spans="2:15" x14ac:dyDescent="0.3">
      <c r="B530" s="114"/>
      <c r="C530" s="233" t="s">
        <v>807</v>
      </c>
      <c r="D530" s="234" t="s">
        <v>0</v>
      </c>
      <c r="E530" s="235">
        <v>1</v>
      </c>
      <c r="F530" s="236">
        <f>0.1+0.2</f>
        <v>0.30000000000000004</v>
      </c>
      <c r="G530" s="236"/>
      <c r="H530" s="236">
        <v>2.2999999999999998</v>
      </c>
      <c r="I530" s="235">
        <v>1</v>
      </c>
      <c r="J530" s="237"/>
      <c r="K530" s="237">
        <f t="shared" si="28"/>
        <v>0.69000000000000006</v>
      </c>
      <c r="L530" s="111"/>
      <c r="M530" s="111"/>
      <c r="N530" s="111"/>
      <c r="O530" s="111"/>
    </row>
    <row r="531" spans="2:15" x14ac:dyDescent="0.3">
      <c r="B531" s="114"/>
      <c r="C531" s="280"/>
      <c r="D531" s="234" t="s">
        <v>0</v>
      </c>
      <c r="E531" s="235">
        <v>1</v>
      </c>
      <c r="F531" s="236">
        <f>0.25+0.2</f>
        <v>0.45</v>
      </c>
      <c r="G531" s="236"/>
      <c r="H531" s="236">
        <v>1.5</v>
      </c>
      <c r="I531" s="235">
        <v>1</v>
      </c>
      <c r="J531" s="237"/>
      <c r="K531" s="237">
        <f t="shared" si="28"/>
        <v>0.67500000000000004</v>
      </c>
      <c r="L531" s="111"/>
      <c r="M531" s="111"/>
      <c r="N531" s="111"/>
      <c r="O531" s="111"/>
    </row>
    <row r="532" spans="2:15" x14ac:dyDescent="0.3">
      <c r="B532" s="114"/>
      <c r="C532" s="233" t="s">
        <v>810</v>
      </c>
      <c r="D532" s="234" t="s">
        <v>0</v>
      </c>
      <c r="E532" s="235">
        <v>1</v>
      </c>
      <c r="F532" s="236">
        <f>0.25+0.2+0.2</f>
        <v>0.65</v>
      </c>
      <c r="G532" s="236"/>
      <c r="H532" s="236">
        <v>2.2000000000000002</v>
      </c>
      <c r="I532" s="235">
        <v>1</v>
      </c>
      <c r="J532" s="237"/>
      <c r="K532" s="237">
        <f t="shared" si="28"/>
        <v>1.4300000000000002</v>
      </c>
      <c r="L532" s="111"/>
      <c r="M532" s="111"/>
      <c r="N532" s="111"/>
      <c r="O532" s="111"/>
    </row>
    <row r="533" spans="2:15" x14ac:dyDescent="0.3">
      <c r="B533" s="114"/>
      <c r="C533" s="233" t="s">
        <v>811</v>
      </c>
      <c r="D533" s="234" t="s">
        <v>0</v>
      </c>
      <c r="E533" s="235">
        <v>1</v>
      </c>
      <c r="F533" s="236">
        <f>0.1+0.2+0.2</f>
        <v>0.5</v>
      </c>
      <c r="G533" s="236"/>
      <c r="H533" s="236">
        <v>5.69</v>
      </c>
      <c r="I533" s="235">
        <v>1</v>
      </c>
      <c r="J533" s="237"/>
      <c r="K533" s="237">
        <f t="shared" si="28"/>
        <v>2.8450000000000002</v>
      </c>
      <c r="L533" s="111"/>
      <c r="M533" s="111"/>
      <c r="N533" s="111"/>
      <c r="O533" s="111"/>
    </row>
    <row r="534" spans="2:15" ht="14.4" x14ac:dyDescent="0.3">
      <c r="B534"/>
      <c r="C534" s="233" t="s">
        <v>812</v>
      </c>
      <c r="D534" s="234" t="s">
        <v>0</v>
      </c>
      <c r="E534" s="235">
        <v>1</v>
      </c>
      <c r="F534" s="236">
        <f>0.25+0.2</f>
        <v>0.45</v>
      </c>
      <c r="G534" s="236"/>
      <c r="H534" s="236">
        <v>3.7</v>
      </c>
      <c r="I534" s="235">
        <v>1</v>
      </c>
      <c r="J534" s="237"/>
      <c r="K534" s="237">
        <f t="shared" si="28"/>
        <v>1.665</v>
      </c>
      <c r="L534"/>
      <c r="M534"/>
      <c r="N534"/>
      <c r="O534"/>
    </row>
    <row r="535" spans="2:15" ht="14.4" x14ac:dyDescent="0.3">
      <c r="B535"/>
      <c r="C535" s="233" t="s">
        <v>813</v>
      </c>
      <c r="D535" s="234" t="s">
        <v>0</v>
      </c>
      <c r="E535" s="235">
        <v>1</v>
      </c>
      <c r="F535" s="236">
        <f>0.25+0.2+0.2</f>
        <v>0.65</v>
      </c>
      <c r="G535" s="236"/>
      <c r="H535" s="236">
        <v>2.5</v>
      </c>
      <c r="I535" s="235">
        <v>1</v>
      </c>
      <c r="J535" s="237"/>
      <c r="K535" s="237">
        <f t="shared" si="28"/>
        <v>1.625</v>
      </c>
      <c r="L535"/>
      <c r="M535"/>
      <c r="N535"/>
      <c r="O535"/>
    </row>
    <row r="536" spans="2:15" ht="14.4" x14ac:dyDescent="0.3">
      <c r="B536"/>
      <c r="C536" s="233" t="s">
        <v>814</v>
      </c>
      <c r="D536" s="234" t="s">
        <v>0</v>
      </c>
      <c r="E536" s="235">
        <v>1</v>
      </c>
      <c r="F536" s="236">
        <f>0.1+0.2</f>
        <v>0.30000000000000004</v>
      </c>
      <c r="G536" s="236"/>
      <c r="H536" s="236">
        <v>2.5</v>
      </c>
      <c r="I536" s="235">
        <v>1</v>
      </c>
      <c r="J536" s="237"/>
      <c r="K536" s="237">
        <f t="shared" si="28"/>
        <v>0.75000000000000011</v>
      </c>
      <c r="L536"/>
      <c r="M536"/>
      <c r="N536"/>
      <c r="O536"/>
    </row>
    <row r="537" spans="2:15" ht="14.4" x14ac:dyDescent="0.3">
      <c r="B537"/>
      <c r="C537" s="233" t="s">
        <v>815</v>
      </c>
      <c r="D537" s="234" t="s">
        <v>0</v>
      </c>
      <c r="E537" s="235">
        <v>1</v>
      </c>
      <c r="F537" s="236">
        <f>0.25+0.2</f>
        <v>0.45</v>
      </c>
      <c r="G537" s="236"/>
      <c r="H537" s="236">
        <v>2.2000000000000002</v>
      </c>
      <c r="I537" s="235">
        <v>1</v>
      </c>
      <c r="J537" s="237"/>
      <c r="K537" s="237">
        <f t="shared" si="28"/>
        <v>0.9900000000000001</v>
      </c>
      <c r="L537"/>
      <c r="M537"/>
      <c r="N537"/>
      <c r="O537"/>
    </row>
    <row r="538" spans="2:15" ht="14.4" x14ac:dyDescent="0.3">
      <c r="B538"/>
      <c r="C538" s="233" t="s">
        <v>816</v>
      </c>
      <c r="D538" s="234" t="s">
        <v>0</v>
      </c>
      <c r="E538" s="235">
        <v>1</v>
      </c>
      <c r="F538" s="236">
        <f>0.2</f>
        <v>0.2</v>
      </c>
      <c r="G538" s="236"/>
      <c r="H538" s="236">
        <v>1.66</v>
      </c>
      <c r="I538" s="235">
        <v>1</v>
      </c>
      <c r="J538" s="237"/>
      <c r="K538" s="237">
        <f t="shared" si="28"/>
        <v>0.33200000000000002</v>
      </c>
      <c r="L538"/>
      <c r="M538"/>
      <c r="N538"/>
      <c r="O538"/>
    </row>
    <row r="539" spans="2:15" ht="14.4" x14ac:dyDescent="0.3">
      <c r="B539"/>
      <c r="C539" s="233" t="s">
        <v>817</v>
      </c>
      <c r="D539" s="234" t="s">
        <v>0</v>
      </c>
      <c r="E539" s="235">
        <v>1</v>
      </c>
      <c r="F539" s="236">
        <v>0.2</v>
      </c>
      <c r="G539" s="236"/>
      <c r="H539" s="236">
        <v>1.63</v>
      </c>
      <c r="I539" s="235">
        <v>1</v>
      </c>
      <c r="J539" s="237"/>
      <c r="K539" s="237">
        <f t="shared" si="28"/>
        <v>0.32600000000000001</v>
      </c>
      <c r="L539"/>
      <c r="M539"/>
      <c r="N539"/>
      <c r="O539"/>
    </row>
    <row r="540" spans="2:15" ht="14.4" x14ac:dyDescent="0.3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 x14ac:dyDescent="0.3">
      <c r="B541" s="99" t="s">
        <v>1184</v>
      </c>
      <c r="C541" s="226" t="s">
        <v>653</v>
      </c>
      <c r="D541" s="132" t="s">
        <v>126</v>
      </c>
      <c r="E541" s="1"/>
      <c r="F541" s="2"/>
      <c r="G541" s="2"/>
      <c r="H541" s="206"/>
      <c r="I541" s="102"/>
      <c r="J541" s="103"/>
      <c r="K541" s="103"/>
      <c r="L541" s="103"/>
      <c r="M541" s="103"/>
      <c r="N541" s="103"/>
      <c r="O541" s="103">
        <f>SUM(J542:J602)</f>
        <v>466.41999999999996</v>
      </c>
    </row>
    <row r="542" spans="2:15" x14ac:dyDescent="0.3">
      <c r="B542" s="118"/>
      <c r="C542" s="253" t="s">
        <v>127</v>
      </c>
      <c r="D542" s="260"/>
      <c r="E542" s="255"/>
      <c r="F542" s="256"/>
      <c r="G542" s="256"/>
      <c r="H542" s="281"/>
      <c r="I542" s="277"/>
      <c r="J542" s="231"/>
      <c r="K542" s="113"/>
      <c r="L542" s="113"/>
      <c r="M542" s="113"/>
      <c r="N542" s="113"/>
      <c r="O542" s="113"/>
    </row>
    <row r="543" spans="2:15" x14ac:dyDescent="0.3">
      <c r="B543" s="118"/>
      <c r="C543" s="257" t="s">
        <v>266</v>
      </c>
      <c r="D543" s="260"/>
      <c r="E543" s="255"/>
      <c r="F543" s="256"/>
      <c r="G543" s="256"/>
      <c r="H543" s="281"/>
      <c r="I543" s="277"/>
      <c r="J543" s="231"/>
      <c r="K543" s="113"/>
      <c r="L543" s="113"/>
      <c r="M543" s="113"/>
      <c r="N543" s="113"/>
      <c r="O543" s="113"/>
    </row>
    <row r="544" spans="2:15" x14ac:dyDescent="0.3">
      <c r="B544" s="114"/>
      <c r="C544" s="258" t="s">
        <v>818</v>
      </c>
      <c r="D544" s="239" t="s">
        <v>0</v>
      </c>
      <c r="E544" s="235">
        <v>1</v>
      </c>
      <c r="F544" s="236"/>
      <c r="G544" s="236">
        <v>2.83</v>
      </c>
      <c r="H544" s="236">
        <v>0.85</v>
      </c>
      <c r="I544" s="242">
        <v>1</v>
      </c>
      <c r="J544" s="237">
        <f t="shared" ref="J544:J556" si="29">((G544+H544)*2)*E544*I544</f>
        <v>7.36</v>
      </c>
      <c r="K544" s="111"/>
      <c r="L544" s="111"/>
      <c r="M544" s="111"/>
      <c r="N544" s="111"/>
      <c r="O544" s="111"/>
    </row>
    <row r="545" spans="2:15" x14ac:dyDescent="0.3">
      <c r="B545" s="114"/>
      <c r="C545" s="258" t="s">
        <v>819</v>
      </c>
      <c r="D545" s="239" t="s">
        <v>0</v>
      </c>
      <c r="E545" s="235">
        <v>1</v>
      </c>
      <c r="F545" s="236"/>
      <c r="G545" s="236">
        <v>2.63</v>
      </c>
      <c r="H545" s="236">
        <v>1.58</v>
      </c>
      <c r="I545" s="242">
        <v>1</v>
      </c>
      <c r="J545" s="237">
        <f t="shared" si="29"/>
        <v>8.42</v>
      </c>
      <c r="K545" s="111"/>
      <c r="L545" s="111"/>
      <c r="M545" s="111"/>
      <c r="N545" s="111"/>
      <c r="O545" s="111"/>
    </row>
    <row r="546" spans="2:15" x14ac:dyDescent="0.3">
      <c r="B546" s="114"/>
      <c r="C546" s="258" t="s">
        <v>820</v>
      </c>
      <c r="D546" s="239" t="s">
        <v>0</v>
      </c>
      <c r="E546" s="235">
        <v>1</v>
      </c>
      <c r="F546" s="236"/>
      <c r="G546" s="236">
        <v>2.7</v>
      </c>
      <c r="H546" s="236">
        <v>0.85</v>
      </c>
      <c r="I546" s="242">
        <v>1</v>
      </c>
      <c r="J546" s="237">
        <f t="shared" si="29"/>
        <v>7.1000000000000005</v>
      </c>
      <c r="K546" s="111"/>
      <c r="L546" s="111"/>
      <c r="M546" s="111"/>
      <c r="N546" s="111"/>
      <c r="O546" s="111"/>
    </row>
    <row r="547" spans="2:15" x14ac:dyDescent="0.3">
      <c r="B547" s="114"/>
      <c r="C547" s="258" t="s">
        <v>821</v>
      </c>
      <c r="D547" s="239" t="s">
        <v>0</v>
      </c>
      <c r="E547" s="235">
        <v>1</v>
      </c>
      <c r="F547" s="236"/>
      <c r="G547" s="236">
        <v>1.25</v>
      </c>
      <c r="H547" s="236">
        <v>0.6</v>
      </c>
      <c r="I547" s="242">
        <v>1</v>
      </c>
      <c r="J547" s="237">
        <f>((G547+H547)*2)*E547*I547</f>
        <v>3.7</v>
      </c>
      <c r="K547" s="111"/>
      <c r="L547" s="111"/>
      <c r="M547" s="111"/>
      <c r="N547" s="111"/>
      <c r="O547" s="111"/>
    </row>
    <row r="548" spans="2:15" x14ac:dyDescent="0.3">
      <c r="B548" s="114"/>
      <c r="C548" s="258" t="s">
        <v>822</v>
      </c>
      <c r="D548" s="239" t="s">
        <v>0</v>
      </c>
      <c r="E548" s="235">
        <v>1</v>
      </c>
      <c r="F548" s="236"/>
      <c r="G548" s="282">
        <v>1.3</v>
      </c>
      <c r="H548" s="236">
        <v>0.6</v>
      </c>
      <c r="I548" s="242">
        <v>1</v>
      </c>
      <c r="J548" s="237">
        <f t="shared" si="29"/>
        <v>3.8</v>
      </c>
      <c r="K548" s="111"/>
      <c r="L548" s="111"/>
      <c r="M548" s="111"/>
      <c r="N548" s="111"/>
      <c r="O548" s="111"/>
    </row>
    <row r="549" spans="2:15" x14ac:dyDescent="0.3">
      <c r="B549" s="114"/>
      <c r="C549" s="258" t="s">
        <v>823</v>
      </c>
      <c r="D549" s="239" t="s">
        <v>0</v>
      </c>
      <c r="E549" s="235">
        <v>1</v>
      </c>
      <c r="F549" s="236"/>
      <c r="G549" s="236">
        <v>1.4</v>
      </c>
      <c r="H549" s="236">
        <v>1.58</v>
      </c>
      <c r="I549" s="242">
        <v>1</v>
      </c>
      <c r="J549" s="237">
        <f t="shared" si="29"/>
        <v>5.96</v>
      </c>
      <c r="K549" s="111"/>
      <c r="L549" s="111"/>
      <c r="M549" s="111"/>
      <c r="N549" s="111"/>
      <c r="O549" s="111"/>
    </row>
    <row r="550" spans="2:15" x14ac:dyDescent="0.3">
      <c r="B550" s="114"/>
      <c r="C550" s="258" t="s">
        <v>824</v>
      </c>
      <c r="D550" s="239" t="s">
        <v>0</v>
      </c>
      <c r="E550" s="235">
        <v>2</v>
      </c>
      <c r="F550" s="236"/>
      <c r="G550" s="236">
        <v>1.08</v>
      </c>
      <c r="H550" s="236">
        <v>0.85</v>
      </c>
      <c r="I550" s="242">
        <v>1</v>
      </c>
      <c r="J550" s="237">
        <f t="shared" si="29"/>
        <v>7.7200000000000006</v>
      </c>
      <c r="K550" s="111"/>
      <c r="L550" s="111"/>
      <c r="M550" s="111"/>
      <c r="N550" s="111"/>
      <c r="O550" s="111"/>
    </row>
    <row r="551" spans="2:15" x14ac:dyDescent="0.3">
      <c r="B551" s="114"/>
      <c r="C551" s="258" t="s">
        <v>825</v>
      </c>
      <c r="D551" s="239" t="s">
        <v>0</v>
      </c>
      <c r="E551" s="235">
        <v>1</v>
      </c>
      <c r="F551" s="236"/>
      <c r="G551" s="236">
        <v>1.33</v>
      </c>
      <c r="H551" s="236">
        <v>0.6</v>
      </c>
      <c r="I551" s="242">
        <v>1</v>
      </c>
      <c r="J551" s="237">
        <f t="shared" si="29"/>
        <v>3.8600000000000003</v>
      </c>
      <c r="K551" s="111"/>
      <c r="L551" s="111"/>
      <c r="M551" s="111"/>
      <c r="N551" s="111"/>
      <c r="O551" s="111"/>
    </row>
    <row r="552" spans="2:15" x14ac:dyDescent="0.3">
      <c r="B552" s="114"/>
      <c r="C552" s="258" t="s">
        <v>826</v>
      </c>
      <c r="D552" s="239" t="s">
        <v>0</v>
      </c>
      <c r="E552" s="235">
        <v>2</v>
      </c>
      <c r="F552" s="236"/>
      <c r="G552" s="236">
        <v>2.2999999999999998</v>
      </c>
      <c r="H552" s="236">
        <v>0.85</v>
      </c>
      <c r="I552" s="242">
        <v>1</v>
      </c>
      <c r="J552" s="237">
        <f t="shared" si="29"/>
        <v>12.6</v>
      </c>
      <c r="K552" s="111"/>
      <c r="L552" s="111"/>
      <c r="M552" s="111"/>
      <c r="N552" s="111"/>
      <c r="O552" s="111"/>
    </row>
    <row r="553" spans="2:15" x14ac:dyDescent="0.3">
      <c r="B553" s="114"/>
      <c r="C553" s="258" t="s">
        <v>827</v>
      </c>
      <c r="D553" s="239" t="s">
        <v>0</v>
      </c>
      <c r="E553" s="235">
        <v>4</v>
      </c>
      <c r="F553" s="236"/>
      <c r="G553" s="236">
        <v>2.2999999999999998</v>
      </c>
      <c r="H553" s="236">
        <v>1.58</v>
      </c>
      <c r="I553" s="242">
        <v>1</v>
      </c>
      <c r="J553" s="237">
        <f t="shared" si="29"/>
        <v>31.04</v>
      </c>
      <c r="K553" s="111"/>
      <c r="L553" s="111"/>
      <c r="M553" s="111"/>
      <c r="N553" s="111"/>
      <c r="O553" s="111"/>
    </row>
    <row r="554" spans="2:15" x14ac:dyDescent="0.3">
      <c r="B554" s="114"/>
      <c r="C554" s="258" t="s">
        <v>828</v>
      </c>
      <c r="D554" s="239" t="s">
        <v>0</v>
      </c>
      <c r="E554" s="235">
        <v>1</v>
      </c>
      <c r="F554" s="236"/>
      <c r="G554" s="236">
        <v>1.63</v>
      </c>
      <c r="H554" s="236">
        <v>0.85</v>
      </c>
      <c r="I554" s="242">
        <v>1</v>
      </c>
      <c r="J554" s="237">
        <f t="shared" si="29"/>
        <v>4.96</v>
      </c>
      <c r="K554" s="111"/>
      <c r="L554" s="111"/>
      <c r="M554" s="111"/>
      <c r="N554" s="111"/>
      <c r="O554" s="111"/>
    </row>
    <row r="555" spans="2:15" x14ac:dyDescent="0.3">
      <c r="B555" s="114"/>
      <c r="C555" s="258" t="s">
        <v>829</v>
      </c>
      <c r="D555" s="239" t="s">
        <v>0</v>
      </c>
      <c r="E555" s="235">
        <v>2</v>
      </c>
      <c r="F555" s="236"/>
      <c r="G555" s="236">
        <v>2.5</v>
      </c>
      <c r="H555" s="236">
        <v>0.6</v>
      </c>
      <c r="I555" s="242">
        <v>1</v>
      </c>
      <c r="J555" s="237">
        <f t="shared" si="29"/>
        <v>12.4</v>
      </c>
      <c r="K555" s="111"/>
      <c r="L555" s="111"/>
      <c r="M555" s="111"/>
      <c r="N555" s="111"/>
      <c r="O555" s="111"/>
    </row>
    <row r="556" spans="2:15" x14ac:dyDescent="0.3">
      <c r="B556" s="114"/>
      <c r="C556" s="258" t="s">
        <v>830</v>
      </c>
      <c r="D556" s="239" t="s">
        <v>0</v>
      </c>
      <c r="E556" s="235">
        <v>1</v>
      </c>
      <c r="F556" s="236"/>
      <c r="G556" s="236">
        <v>1.63</v>
      </c>
      <c r="H556" s="236">
        <v>1.58</v>
      </c>
      <c r="I556" s="242">
        <v>1</v>
      </c>
      <c r="J556" s="237">
        <f t="shared" si="29"/>
        <v>6.42</v>
      </c>
      <c r="K556" s="111"/>
      <c r="L556" s="111"/>
      <c r="M556" s="111"/>
      <c r="N556" s="111"/>
      <c r="O556" s="111"/>
    </row>
    <row r="557" spans="2:15" x14ac:dyDescent="0.3">
      <c r="B557" s="118"/>
      <c r="C557" s="257" t="s">
        <v>129</v>
      </c>
      <c r="D557" s="260"/>
      <c r="E557" s="255"/>
      <c r="F557" s="256"/>
      <c r="G557" s="256"/>
      <c r="H557" s="283"/>
      <c r="I557" s="277"/>
      <c r="J557" s="231"/>
      <c r="K557" s="113"/>
      <c r="L557" s="113"/>
      <c r="M557" s="113"/>
      <c r="N557" s="113"/>
      <c r="O557" s="113"/>
    </row>
    <row r="558" spans="2:15" x14ac:dyDescent="0.3">
      <c r="B558" s="152"/>
      <c r="C558" s="258" t="s">
        <v>831</v>
      </c>
      <c r="D558" s="239" t="s">
        <v>0</v>
      </c>
      <c r="E558" s="235">
        <v>3</v>
      </c>
      <c r="F558" s="236"/>
      <c r="G558" s="236">
        <v>1.2</v>
      </c>
      <c r="H558" s="236">
        <v>2.68</v>
      </c>
      <c r="I558" s="242">
        <v>1</v>
      </c>
      <c r="J558" s="237">
        <f t="shared" ref="J558:J564" si="30">((H558*2)+G558)*E558*I558</f>
        <v>19.68</v>
      </c>
      <c r="K558" s="113"/>
      <c r="L558" s="113"/>
      <c r="M558" s="113"/>
      <c r="N558" s="113"/>
      <c r="O558" s="113"/>
    </row>
    <row r="559" spans="2:15" x14ac:dyDescent="0.2">
      <c r="B559" s="284"/>
      <c r="C559" s="258" t="s">
        <v>832</v>
      </c>
      <c r="D559" s="239" t="s">
        <v>0</v>
      </c>
      <c r="E559" s="235">
        <v>3</v>
      </c>
      <c r="F559" s="236"/>
      <c r="G559" s="236">
        <v>1</v>
      </c>
      <c r="H559" s="236">
        <v>2.48</v>
      </c>
      <c r="I559" s="242">
        <v>1</v>
      </c>
      <c r="J559" s="237">
        <f t="shared" si="30"/>
        <v>17.88</v>
      </c>
      <c r="K559" s="113"/>
      <c r="L559" s="285"/>
      <c r="M559" s="285"/>
      <c r="N559" s="285"/>
      <c r="O559" s="285"/>
    </row>
    <row r="560" spans="2:15" x14ac:dyDescent="0.2">
      <c r="B560" s="284"/>
      <c r="C560" s="258" t="s">
        <v>833</v>
      </c>
      <c r="D560" s="239" t="s">
        <v>0</v>
      </c>
      <c r="E560" s="235">
        <v>1</v>
      </c>
      <c r="F560" s="236"/>
      <c r="G560" s="236">
        <v>1</v>
      </c>
      <c r="H560" s="236">
        <v>2.68</v>
      </c>
      <c r="I560" s="242">
        <v>1</v>
      </c>
      <c r="J560" s="237">
        <f t="shared" si="30"/>
        <v>6.36</v>
      </c>
      <c r="K560" s="113"/>
      <c r="L560" s="285"/>
      <c r="M560" s="285"/>
      <c r="N560" s="285"/>
      <c r="O560" s="285"/>
    </row>
    <row r="561" spans="2:15" x14ac:dyDescent="0.3">
      <c r="B561" s="99"/>
      <c r="C561" s="258" t="s">
        <v>834</v>
      </c>
      <c r="D561" s="239" t="s">
        <v>0</v>
      </c>
      <c r="E561" s="235">
        <v>1</v>
      </c>
      <c r="F561" s="236"/>
      <c r="G561" s="236">
        <v>0.7</v>
      </c>
      <c r="H561" s="236">
        <v>2.88</v>
      </c>
      <c r="I561" s="242">
        <v>1</v>
      </c>
      <c r="J561" s="237">
        <f t="shared" si="30"/>
        <v>6.46</v>
      </c>
      <c r="K561" s="113"/>
      <c r="L561" s="286"/>
      <c r="M561" s="286"/>
      <c r="N561" s="286"/>
      <c r="O561" s="103"/>
    </row>
    <row r="562" spans="2:15" x14ac:dyDescent="0.3">
      <c r="B562" s="99"/>
      <c r="C562" s="258" t="s">
        <v>835</v>
      </c>
      <c r="D562" s="239" t="s">
        <v>0</v>
      </c>
      <c r="E562" s="235">
        <v>1</v>
      </c>
      <c r="F562" s="236"/>
      <c r="G562" s="236">
        <v>0.7</v>
      </c>
      <c r="H562" s="236">
        <v>2.48</v>
      </c>
      <c r="I562" s="242">
        <v>1</v>
      </c>
      <c r="J562" s="237">
        <f t="shared" si="30"/>
        <v>5.66</v>
      </c>
      <c r="K562" s="113"/>
      <c r="L562" s="286"/>
      <c r="M562" s="286"/>
      <c r="N562" s="286"/>
      <c r="O562" s="103"/>
    </row>
    <row r="563" spans="2:15" x14ac:dyDescent="0.3">
      <c r="B563" s="99"/>
      <c r="C563" s="258" t="s">
        <v>836</v>
      </c>
      <c r="D563" s="234" t="s">
        <v>0</v>
      </c>
      <c r="E563" s="235">
        <v>1</v>
      </c>
      <c r="F563" s="236"/>
      <c r="G563" s="236">
        <v>1.2</v>
      </c>
      <c r="H563" s="236">
        <v>2.68</v>
      </c>
      <c r="I563" s="242">
        <v>1</v>
      </c>
      <c r="J563" s="237">
        <f t="shared" si="30"/>
        <v>6.5600000000000005</v>
      </c>
      <c r="K563" s="113"/>
      <c r="L563" s="286"/>
      <c r="M563" s="286"/>
      <c r="N563" s="286"/>
      <c r="O563" s="103"/>
    </row>
    <row r="564" spans="2:15" x14ac:dyDescent="0.3">
      <c r="B564" s="99"/>
      <c r="C564" s="258" t="s">
        <v>837</v>
      </c>
      <c r="D564" s="234" t="s">
        <v>0</v>
      </c>
      <c r="E564" s="235">
        <v>1</v>
      </c>
      <c r="F564" s="236"/>
      <c r="G564" s="236">
        <v>1.2</v>
      </c>
      <c r="H564" s="236">
        <v>2.48</v>
      </c>
      <c r="I564" s="242">
        <v>1</v>
      </c>
      <c r="J564" s="237">
        <f t="shared" si="30"/>
        <v>6.16</v>
      </c>
      <c r="K564" s="113"/>
      <c r="L564" s="286"/>
      <c r="M564" s="286"/>
      <c r="N564" s="286"/>
      <c r="O564" s="103"/>
    </row>
    <row r="565" spans="2:15" x14ac:dyDescent="0.3">
      <c r="B565" s="118"/>
      <c r="C565" s="253" t="s">
        <v>68</v>
      </c>
      <c r="D565" s="260"/>
      <c r="E565" s="255"/>
      <c r="F565" s="256"/>
      <c r="G565" s="256"/>
      <c r="H565" s="283"/>
      <c r="I565" s="277"/>
      <c r="J565" s="231"/>
      <c r="K565" s="113"/>
      <c r="L565" s="113"/>
      <c r="M565" s="113"/>
      <c r="N565" s="113"/>
      <c r="O565" s="113"/>
    </row>
    <row r="566" spans="2:15" x14ac:dyDescent="0.3">
      <c r="B566" s="118"/>
      <c r="C566" s="257" t="s">
        <v>266</v>
      </c>
      <c r="D566" s="260"/>
      <c r="E566" s="255"/>
      <c r="F566" s="256"/>
      <c r="G566" s="256"/>
      <c r="H566" s="283"/>
      <c r="I566" s="277"/>
      <c r="J566" s="231"/>
      <c r="K566" s="113"/>
      <c r="L566" s="113"/>
      <c r="M566" s="113"/>
      <c r="N566" s="113"/>
      <c r="O566" s="113"/>
    </row>
    <row r="567" spans="2:15" x14ac:dyDescent="0.3">
      <c r="B567" s="114"/>
      <c r="C567" s="258" t="s">
        <v>819</v>
      </c>
      <c r="D567" s="239" t="s">
        <v>0</v>
      </c>
      <c r="E567" s="235">
        <v>1</v>
      </c>
      <c r="F567" s="236"/>
      <c r="G567" s="236">
        <v>2.63</v>
      </c>
      <c r="H567" s="236">
        <v>1.58</v>
      </c>
      <c r="I567" s="242">
        <v>1</v>
      </c>
      <c r="J567" s="237">
        <f t="shared" ref="J567:J577" si="31">((G567+H567)*2)*E567*I567</f>
        <v>8.42</v>
      </c>
      <c r="K567" s="111"/>
      <c r="L567" s="111"/>
      <c r="M567" s="111"/>
      <c r="N567" s="111"/>
      <c r="O567" s="111"/>
    </row>
    <row r="568" spans="2:15" x14ac:dyDescent="0.3">
      <c r="B568" s="114"/>
      <c r="C568" s="258" t="s">
        <v>824</v>
      </c>
      <c r="D568" s="239" t="s">
        <v>0</v>
      </c>
      <c r="E568" s="235">
        <v>2</v>
      </c>
      <c r="F568" s="236"/>
      <c r="G568" s="236">
        <v>1.08</v>
      </c>
      <c r="H568" s="236">
        <v>0.85</v>
      </c>
      <c r="I568" s="242">
        <v>1</v>
      </c>
      <c r="J568" s="237">
        <f t="shared" si="31"/>
        <v>7.7200000000000006</v>
      </c>
      <c r="K568" s="111"/>
      <c r="L568" s="111"/>
      <c r="M568" s="111"/>
      <c r="N568" s="111"/>
      <c r="O568" s="111"/>
    </row>
    <row r="569" spans="2:15" x14ac:dyDescent="0.3">
      <c r="B569" s="114"/>
      <c r="C569" s="258" t="s">
        <v>826</v>
      </c>
      <c r="D569" s="239" t="s">
        <v>0</v>
      </c>
      <c r="E569" s="235">
        <v>2</v>
      </c>
      <c r="F569" s="236"/>
      <c r="G569" s="236">
        <v>2.2999999999999998</v>
      </c>
      <c r="H569" s="236">
        <v>0.85</v>
      </c>
      <c r="I569" s="242">
        <v>1</v>
      </c>
      <c r="J569" s="237">
        <f t="shared" si="31"/>
        <v>12.6</v>
      </c>
      <c r="K569" s="111"/>
      <c r="L569" s="111"/>
      <c r="M569" s="111"/>
      <c r="N569" s="111"/>
      <c r="O569" s="111"/>
    </row>
    <row r="570" spans="2:15" x14ac:dyDescent="0.3">
      <c r="B570" s="114"/>
      <c r="C570" s="258" t="s">
        <v>827</v>
      </c>
      <c r="D570" s="239" t="s">
        <v>0</v>
      </c>
      <c r="E570" s="235">
        <v>4</v>
      </c>
      <c r="F570" s="236"/>
      <c r="G570" s="282">
        <v>2.2999999999999998</v>
      </c>
      <c r="H570" s="236">
        <v>1.58</v>
      </c>
      <c r="I570" s="242">
        <v>1</v>
      </c>
      <c r="J570" s="237">
        <f t="shared" si="31"/>
        <v>31.04</v>
      </c>
      <c r="K570" s="111"/>
      <c r="L570" s="111"/>
      <c r="M570" s="111"/>
      <c r="N570" s="111"/>
      <c r="O570" s="111"/>
    </row>
    <row r="571" spans="2:15" x14ac:dyDescent="0.3">
      <c r="B571" s="114"/>
      <c r="C571" s="258" t="s">
        <v>828</v>
      </c>
      <c r="D571" s="239" t="s">
        <v>0</v>
      </c>
      <c r="E571" s="235">
        <v>1</v>
      </c>
      <c r="F571" s="236"/>
      <c r="G571" s="236">
        <v>1.63</v>
      </c>
      <c r="H571" s="236">
        <v>0.85</v>
      </c>
      <c r="I571" s="242">
        <v>1</v>
      </c>
      <c r="J571" s="237">
        <f t="shared" si="31"/>
        <v>4.96</v>
      </c>
      <c r="K571" s="111"/>
      <c r="L571" s="111"/>
      <c r="M571" s="111"/>
      <c r="N571" s="111"/>
      <c r="O571" s="111"/>
    </row>
    <row r="572" spans="2:15" x14ac:dyDescent="0.3">
      <c r="B572" s="114"/>
      <c r="C572" s="258" t="s">
        <v>830</v>
      </c>
      <c r="D572" s="239" t="s">
        <v>0</v>
      </c>
      <c r="E572" s="235">
        <v>1</v>
      </c>
      <c r="F572" s="236"/>
      <c r="G572" s="236">
        <v>1.63</v>
      </c>
      <c r="H572" s="236">
        <v>1.58</v>
      </c>
      <c r="I572" s="242">
        <v>1</v>
      </c>
      <c r="J572" s="237">
        <f t="shared" si="31"/>
        <v>6.42</v>
      </c>
      <c r="K572" s="111"/>
      <c r="L572" s="111"/>
      <c r="M572" s="111"/>
      <c r="N572" s="111"/>
      <c r="O572" s="111"/>
    </row>
    <row r="573" spans="2:15" x14ac:dyDescent="0.3">
      <c r="B573" s="114"/>
      <c r="C573" s="258" t="s">
        <v>838</v>
      </c>
      <c r="D573" s="239" t="s">
        <v>0</v>
      </c>
      <c r="E573" s="235">
        <v>1</v>
      </c>
      <c r="F573" s="236"/>
      <c r="G573" s="236">
        <v>2.7</v>
      </c>
      <c r="H573" s="236">
        <v>1.58</v>
      </c>
      <c r="I573" s="242">
        <v>1</v>
      </c>
      <c r="J573" s="237">
        <f t="shared" si="31"/>
        <v>8.56</v>
      </c>
      <c r="K573" s="111"/>
      <c r="L573" s="111"/>
      <c r="M573" s="111"/>
      <c r="N573" s="111"/>
      <c r="O573" s="111"/>
    </row>
    <row r="574" spans="2:15" x14ac:dyDescent="0.3">
      <c r="B574" s="114"/>
      <c r="C574" s="258" t="s">
        <v>839</v>
      </c>
      <c r="D574" s="239" t="s">
        <v>0</v>
      </c>
      <c r="E574" s="235">
        <v>1</v>
      </c>
      <c r="F574" s="236"/>
      <c r="G574" s="236">
        <v>1.63</v>
      </c>
      <c r="H574" s="236">
        <v>0.85</v>
      </c>
      <c r="I574" s="242">
        <v>1</v>
      </c>
      <c r="J574" s="237">
        <f t="shared" si="31"/>
        <v>4.96</v>
      </c>
      <c r="K574" s="111"/>
      <c r="L574" s="111"/>
      <c r="M574" s="111"/>
      <c r="N574" s="111"/>
      <c r="O574" s="111"/>
    </row>
    <row r="575" spans="2:15" x14ac:dyDescent="0.3">
      <c r="B575" s="114"/>
      <c r="C575" s="258" t="s">
        <v>840</v>
      </c>
      <c r="D575" s="239" t="s">
        <v>0</v>
      </c>
      <c r="E575" s="235">
        <v>1</v>
      </c>
      <c r="F575" s="236"/>
      <c r="G575" s="236">
        <v>3.25</v>
      </c>
      <c r="H575" s="236">
        <v>0.85</v>
      </c>
      <c r="I575" s="242">
        <v>1</v>
      </c>
      <c r="J575" s="237">
        <f t="shared" si="31"/>
        <v>8.1999999999999993</v>
      </c>
      <c r="K575" s="111"/>
      <c r="L575" s="111"/>
      <c r="M575" s="111"/>
      <c r="N575" s="111"/>
      <c r="O575" s="111"/>
    </row>
    <row r="576" spans="2:15" x14ac:dyDescent="0.3">
      <c r="B576" s="114"/>
      <c r="C576" s="258" t="s">
        <v>841</v>
      </c>
      <c r="D576" s="239" t="s">
        <v>0</v>
      </c>
      <c r="E576" s="235">
        <v>1</v>
      </c>
      <c r="F576" s="236"/>
      <c r="G576" s="236">
        <v>3.29</v>
      </c>
      <c r="H576" s="236">
        <v>0.6</v>
      </c>
      <c r="I576" s="242">
        <v>1</v>
      </c>
      <c r="J576" s="237">
        <f t="shared" si="31"/>
        <v>7.78</v>
      </c>
      <c r="K576" s="111"/>
      <c r="L576" s="111"/>
      <c r="M576" s="111"/>
      <c r="N576" s="111"/>
      <c r="O576" s="111"/>
    </row>
    <row r="577" spans="2:15" x14ac:dyDescent="0.3">
      <c r="B577" s="114"/>
      <c r="C577" s="258" t="s">
        <v>842</v>
      </c>
      <c r="D577" s="239" t="s">
        <v>0</v>
      </c>
      <c r="E577" s="235">
        <v>1</v>
      </c>
      <c r="F577" s="236"/>
      <c r="G577" s="236">
        <v>1.33</v>
      </c>
      <c r="H577" s="236">
        <v>0.85</v>
      </c>
      <c r="I577" s="242">
        <v>1</v>
      </c>
      <c r="J577" s="237">
        <f t="shared" si="31"/>
        <v>4.3600000000000003</v>
      </c>
      <c r="K577" s="111"/>
      <c r="L577" s="111"/>
      <c r="M577" s="111"/>
      <c r="N577" s="111"/>
      <c r="O577" s="111"/>
    </row>
    <row r="578" spans="2:15" x14ac:dyDescent="0.3">
      <c r="B578" s="118"/>
      <c r="C578" s="257" t="s">
        <v>129</v>
      </c>
      <c r="D578" s="260"/>
      <c r="E578" s="255"/>
      <c r="F578" s="256"/>
      <c r="G578" s="256"/>
      <c r="H578" s="281"/>
      <c r="I578" s="277"/>
      <c r="J578" s="231"/>
      <c r="K578" s="113"/>
      <c r="L578" s="113"/>
      <c r="M578" s="113"/>
      <c r="N578" s="113"/>
      <c r="O578" s="113"/>
    </row>
    <row r="579" spans="2:15" x14ac:dyDescent="0.2">
      <c r="B579" s="284"/>
      <c r="C579" s="258" t="s">
        <v>831</v>
      </c>
      <c r="D579" s="239" t="s">
        <v>0</v>
      </c>
      <c r="E579" s="235">
        <v>1</v>
      </c>
      <c r="F579" s="236"/>
      <c r="G579" s="236">
        <v>1.2</v>
      </c>
      <c r="H579" s="236">
        <v>2.68</v>
      </c>
      <c r="I579" s="242">
        <v>1</v>
      </c>
      <c r="J579" s="237">
        <f t="shared" ref="J579:J583" si="32">((H579*2)+G579)*E579*I579</f>
        <v>6.5600000000000005</v>
      </c>
      <c r="K579" s="113"/>
      <c r="L579" s="285"/>
      <c r="M579" s="285"/>
      <c r="N579" s="285"/>
      <c r="O579" s="285"/>
    </row>
    <row r="580" spans="2:15" x14ac:dyDescent="0.2">
      <c r="B580" s="284"/>
      <c r="C580" s="258" t="s">
        <v>833</v>
      </c>
      <c r="D580" s="239" t="s">
        <v>0</v>
      </c>
      <c r="E580" s="235">
        <v>2</v>
      </c>
      <c r="F580" s="236"/>
      <c r="G580" s="236">
        <v>1</v>
      </c>
      <c r="H580" s="236">
        <v>2.68</v>
      </c>
      <c r="I580" s="242">
        <v>1</v>
      </c>
      <c r="J580" s="237">
        <f t="shared" si="32"/>
        <v>12.72</v>
      </c>
      <c r="K580" s="113"/>
      <c r="L580" s="285"/>
      <c r="M580" s="285"/>
      <c r="N580" s="285"/>
      <c r="O580" s="285"/>
    </row>
    <row r="581" spans="2:15" x14ac:dyDescent="0.3">
      <c r="B581" s="152"/>
      <c r="C581" s="258" t="s">
        <v>834</v>
      </c>
      <c r="D581" s="239" t="s">
        <v>0</v>
      </c>
      <c r="E581" s="235">
        <v>1</v>
      </c>
      <c r="F581" s="236"/>
      <c r="G581" s="236">
        <v>0.7</v>
      </c>
      <c r="H581" s="236">
        <v>2.88</v>
      </c>
      <c r="I581" s="242">
        <v>1</v>
      </c>
      <c r="J581" s="237">
        <f t="shared" si="32"/>
        <v>6.46</v>
      </c>
      <c r="K581" s="113"/>
      <c r="L581" s="113"/>
      <c r="M581" s="113"/>
      <c r="N581" s="113"/>
      <c r="O581" s="113"/>
    </row>
    <row r="582" spans="2:15" x14ac:dyDescent="0.3">
      <c r="B582" s="152"/>
      <c r="C582" s="258" t="s">
        <v>843</v>
      </c>
      <c r="D582" s="239" t="s">
        <v>0</v>
      </c>
      <c r="E582" s="235">
        <v>1</v>
      </c>
      <c r="F582" s="236"/>
      <c r="G582" s="236">
        <v>1</v>
      </c>
      <c r="H582" s="236">
        <v>2.68</v>
      </c>
      <c r="I582" s="242">
        <v>1</v>
      </c>
      <c r="J582" s="237">
        <f t="shared" si="32"/>
        <v>6.36</v>
      </c>
      <c r="K582" s="113"/>
      <c r="L582" s="113"/>
      <c r="M582" s="113"/>
      <c r="N582" s="113"/>
      <c r="O582" s="113"/>
    </row>
    <row r="583" spans="2:15" x14ac:dyDescent="0.3">
      <c r="B583" s="152"/>
      <c r="C583" s="258" t="s">
        <v>836</v>
      </c>
      <c r="D583" s="234" t="s">
        <v>0</v>
      </c>
      <c r="E583" s="235">
        <v>1</v>
      </c>
      <c r="F583" s="236"/>
      <c r="G583" s="236">
        <v>1.2</v>
      </c>
      <c r="H583" s="236">
        <v>2.68</v>
      </c>
      <c r="I583" s="242">
        <v>1</v>
      </c>
      <c r="J583" s="237">
        <f t="shared" si="32"/>
        <v>6.5600000000000005</v>
      </c>
      <c r="K583" s="113"/>
      <c r="L583" s="113"/>
      <c r="M583" s="113"/>
      <c r="N583" s="113"/>
      <c r="O583" s="113"/>
    </row>
    <row r="584" spans="2:15" x14ac:dyDescent="0.3">
      <c r="B584" s="118"/>
      <c r="C584" s="253" t="s">
        <v>106</v>
      </c>
      <c r="D584" s="260"/>
      <c r="E584" s="255"/>
      <c r="F584" s="256"/>
      <c r="G584" s="256"/>
      <c r="H584" s="283"/>
      <c r="I584" s="277"/>
      <c r="J584" s="231"/>
      <c r="K584" s="113"/>
      <c r="L584" s="113"/>
      <c r="M584" s="113"/>
      <c r="N584" s="113"/>
      <c r="O584" s="113"/>
    </row>
    <row r="585" spans="2:15" x14ac:dyDescent="0.3">
      <c r="B585" s="118"/>
      <c r="C585" s="257" t="s">
        <v>266</v>
      </c>
      <c r="D585" s="260"/>
      <c r="E585" s="255"/>
      <c r="F585" s="256"/>
      <c r="G585" s="256"/>
      <c r="H585" s="283"/>
      <c r="I585" s="277"/>
      <c r="J585" s="231"/>
      <c r="K585" s="113"/>
      <c r="L585" s="113"/>
      <c r="M585" s="113"/>
      <c r="N585" s="113"/>
      <c r="O585" s="113"/>
    </row>
    <row r="586" spans="2:15" x14ac:dyDescent="0.3">
      <c r="B586" s="118"/>
      <c r="C586" s="258" t="s">
        <v>819</v>
      </c>
      <c r="D586" s="239" t="s">
        <v>0</v>
      </c>
      <c r="E586" s="235">
        <v>1</v>
      </c>
      <c r="F586" s="236"/>
      <c r="G586" s="236">
        <v>2.63</v>
      </c>
      <c r="H586" s="236">
        <v>1.56</v>
      </c>
      <c r="I586" s="242">
        <v>1</v>
      </c>
      <c r="J586" s="237">
        <f t="shared" ref="J586:J596" si="33">((G586+H586)*2)*E586*I586</f>
        <v>8.379999999999999</v>
      </c>
      <c r="K586" s="113"/>
      <c r="L586" s="113"/>
      <c r="M586" s="113"/>
      <c r="N586" s="113"/>
      <c r="O586" s="113"/>
    </row>
    <row r="587" spans="2:15" x14ac:dyDescent="0.3">
      <c r="B587" s="114"/>
      <c r="C587" s="258" t="s">
        <v>824</v>
      </c>
      <c r="D587" s="239" t="s">
        <v>0</v>
      </c>
      <c r="E587" s="235">
        <v>2</v>
      </c>
      <c r="F587" s="236"/>
      <c r="G587" s="236">
        <v>1.08</v>
      </c>
      <c r="H587" s="236">
        <v>0.85</v>
      </c>
      <c r="I587" s="242">
        <v>1</v>
      </c>
      <c r="J587" s="237">
        <f t="shared" si="33"/>
        <v>7.7200000000000006</v>
      </c>
      <c r="K587" s="111"/>
      <c r="L587" s="111"/>
      <c r="M587" s="111"/>
      <c r="N587" s="111"/>
      <c r="O587" s="111"/>
    </row>
    <row r="588" spans="2:15" x14ac:dyDescent="0.3">
      <c r="B588" s="114"/>
      <c r="C588" s="258" t="s">
        <v>826</v>
      </c>
      <c r="D588" s="239" t="s">
        <v>0</v>
      </c>
      <c r="E588" s="235">
        <v>2</v>
      </c>
      <c r="F588" s="236"/>
      <c r="G588" s="236">
        <v>2.2999999999999998</v>
      </c>
      <c r="H588" s="236">
        <v>0.85</v>
      </c>
      <c r="I588" s="242">
        <v>1</v>
      </c>
      <c r="J588" s="237">
        <f t="shared" si="33"/>
        <v>12.6</v>
      </c>
      <c r="K588" s="111"/>
      <c r="L588" s="111"/>
      <c r="M588" s="111"/>
      <c r="N588" s="111"/>
      <c r="O588" s="111"/>
    </row>
    <row r="589" spans="2:15" x14ac:dyDescent="0.3">
      <c r="B589" s="114"/>
      <c r="C589" s="258" t="s">
        <v>827</v>
      </c>
      <c r="D589" s="239" t="s">
        <v>0</v>
      </c>
      <c r="E589" s="235">
        <v>4</v>
      </c>
      <c r="F589" s="236"/>
      <c r="G589" s="282">
        <v>2.2999999999999998</v>
      </c>
      <c r="H589" s="236">
        <v>1.56</v>
      </c>
      <c r="I589" s="242">
        <v>1</v>
      </c>
      <c r="J589" s="237">
        <f t="shared" si="33"/>
        <v>30.88</v>
      </c>
      <c r="K589" s="111"/>
      <c r="L589" s="111"/>
      <c r="M589" s="111"/>
      <c r="N589" s="111"/>
      <c r="O589" s="111"/>
    </row>
    <row r="590" spans="2:15" x14ac:dyDescent="0.3">
      <c r="B590" s="114"/>
      <c r="C590" s="258" t="s">
        <v>828</v>
      </c>
      <c r="D590" s="239" t="s">
        <v>0</v>
      </c>
      <c r="E590" s="235">
        <v>1</v>
      </c>
      <c r="F590" s="236"/>
      <c r="G590" s="236">
        <v>1.63</v>
      </c>
      <c r="H590" s="236">
        <v>0.85</v>
      </c>
      <c r="I590" s="242">
        <v>1</v>
      </c>
      <c r="J590" s="237">
        <f t="shared" si="33"/>
        <v>4.96</v>
      </c>
      <c r="K590" s="111"/>
      <c r="L590" s="111"/>
      <c r="M590" s="111"/>
      <c r="N590" s="111"/>
      <c r="O590" s="111"/>
    </row>
    <row r="591" spans="2:15" x14ac:dyDescent="0.3">
      <c r="B591" s="114"/>
      <c r="C591" s="258" t="s">
        <v>830</v>
      </c>
      <c r="D591" s="239" t="s">
        <v>0</v>
      </c>
      <c r="E591" s="235">
        <v>1</v>
      </c>
      <c r="F591" s="236"/>
      <c r="G591" s="236">
        <v>1.63</v>
      </c>
      <c r="H591" s="236">
        <v>1.56</v>
      </c>
      <c r="I591" s="242">
        <v>1</v>
      </c>
      <c r="J591" s="237">
        <f t="shared" si="33"/>
        <v>6.38</v>
      </c>
      <c r="K591" s="111"/>
      <c r="L591" s="111"/>
      <c r="M591" s="111"/>
      <c r="N591" s="111"/>
      <c r="O591" s="111"/>
    </row>
    <row r="592" spans="2:15" x14ac:dyDescent="0.3">
      <c r="B592" s="114"/>
      <c r="C592" s="258" t="s">
        <v>838</v>
      </c>
      <c r="D592" s="239" t="s">
        <v>0</v>
      </c>
      <c r="E592" s="235">
        <v>1</v>
      </c>
      <c r="F592" s="236"/>
      <c r="G592" s="236">
        <v>2.7</v>
      </c>
      <c r="H592" s="236">
        <v>1.56</v>
      </c>
      <c r="I592" s="242">
        <v>1</v>
      </c>
      <c r="J592" s="237">
        <f t="shared" si="33"/>
        <v>8.52</v>
      </c>
      <c r="K592" s="111"/>
      <c r="L592" s="111"/>
      <c r="M592" s="111"/>
      <c r="N592" s="111"/>
      <c r="O592" s="111"/>
    </row>
    <row r="593" spans="2:15" x14ac:dyDescent="0.3">
      <c r="B593" s="114"/>
      <c r="C593" s="258" t="s">
        <v>841</v>
      </c>
      <c r="D593" s="239" t="s">
        <v>0</v>
      </c>
      <c r="E593" s="235">
        <v>1</v>
      </c>
      <c r="F593" s="236"/>
      <c r="G593" s="236">
        <v>3.29</v>
      </c>
      <c r="H593" s="236">
        <v>0.6</v>
      </c>
      <c r="I593" s="242">
        <v>1</v>
      </c>
      <c r="J593" s="237">
        <f t="shared" si="33"/>
        <v>7.78</v>
      </c>
      <c r="K593" s="111"/>
      <c r="L593" s="111"/>
      <c r="M593" s="111"/>
      <c r="N593" s="111"/>
      <c r="O593" s="111"/>
    </row>
    <row r="594" spans="2:15" x14ac:dyDescent="0.3">
      <c r="B594" s="114"/>
      <c r="C594" s="258" t="s">
        <v>842</v>
      </c>
      <c r="D594" s="239" t="s">
        <v>0</v>
      </c>
      <c r="E594" s="235">
        <v>1</v>
      </c>
      <c r="F594" s="236"/>
      <c r="G594" s="236">
        <v>1.33</v>
      </c>
      <c r="H594" s="236">
        <v>0.85</v>
      </c>
      <c r="I594" s="242">
        <v>1</v>
      </c>
      <c r="J594" s="237">
        <f t="shared" si="33"/>
        <v>4.3600000000000003</v>
      </c>
      <c r="K594" s="111"/>
      <c r="L594" s="111"/>
      <c r="M594" s="111"/>
      <c r="N594" s="111"/>
      <c r="O594" s="111"/>
    </row>
    <row r="595" spans="2:15" x14ac:dyDescent="0.3">
      <c r="B595" s="114"/>
      <c r="C595" s="258" t="s">
        <v>844</v>
      </c>
      <c r="D595" s="239" t="s">
        <v>0</v>
      </c>
      <c r="E595" s="235">
        <v>1</v>
      </c>
      <c r="F595" s="236"/>
      <c r="G595" s="236">
        <v>4.25</v>
      </c>
      <c r="H595" s="236">
        <v>0.85</v>
      </c>
      <c r="I595" s="242">
        <v>1</v>
      </c>
      <c r="J595" s="237">
        <f t="shared" si="33"/>
        <v>10.199999999999999</v>
      </c>
      <c r="K595" s="111"/>
      <c r="L595" s="111"/>
      <c r="M595" s="111"/>
      <c r="N595" s="111"/>
      <c r="O595" s="111"/>
    </row>
    <row r="596" spans="2:15" x14ac:dyDescent="0.3">
      <c r="B596" s="114"/>
      <c r="C596" s="258" t="s">
        <v>845</v>
      </c>
      <c r="D596" s="239" t="s">
        <v>0</v>
      </c>
      <c r="E596" s="235">
        <v>1</v>
      </c>
      <c r="F596" s="236"/>
      <c r="G596" s="236">
        <v>1.43</v>
      </c>
      <c r="H596" s="236">
        <v>0.85</v>
      </c>
      <c r="I596" s="242">
        <v>1</v>
      </c>
      <c r="J596" s="237">
        <f t="shared" si="33"/>
        <v>4.5599999999999996</v>
      </c>
      <c r="K596" s="111"/>
      <c r="L596" s="111"/>
      <c r="M596" s="111"/>
      <c r="N596" s="111"/>
      <c r="O596" s="111"/>
    </row>
    <row r="597" spans="2:15" x14ac:dyDescent="0.3">
      <c r="B597" s="118"/>
      <c r="C597" s="257" t="s">
        <v>129</v>
      </c>
      <c r="D597" s="260"/>
      <c r="E597" s="255"/>
      <c r="F597" s="256"/>
      <c r="G597" s="256"/>
      <c r="H597" s="283"/>
      <c r="I597" s="277"/>
      <c r="J597" s="231"/>
      <c r="K597" s="113"/>
      <c r="L597" s="113"/>
      <c r="M597" s="113"/>
      <c r="N597" s="113"/>
      <c r="O597" s="113"/>
    </row>
    <row r="598" spans="2:15" x14ac:dyDescent="0.2">
      <c r="B598" s="284"/>
      <c r="C598" s="258" t="s">
        <v>831</v>
      </c>
      <c r="D598" s="239" t="s">
        <v>0</v>
      </c>
      <c r="E598" s="235">
        <v>2</v>
      </c>
      <c r="F598" s="236"/>
      <c r="G598" s="236">
        <v>1.2</v>
      </c>
      <c r="H598" s="236">
        <v>2.66</v>
      </c>
      <c r="I598" s="242">
        <v>1</v>
      </c>
      <c r="J598" s="237">
        <f t="shared" ref="J598:J601" si="34">((H598*2)+G598)*E598*I598</f>
        <v>13.040000000000001</v>
      </c>
      <c r="K598" s="113"/>
      <c r="L598" s="285"/>
      <c r="M598" s="285"/>
      <c r="N598" s="285"/>
      <c r="O598" s="285"/>
    </row>
    <row r="599" spans="2:15" x14ac:dyDescent="0.3">
      <c r="B599" s="152"/>
      <c r="C599" s="258" t="s">
        <v>834</v>
      </c>
      <c r="D599" s="239" t="s">
        <v>0</v>
      </c>
      <c r="E599" s="235">
        <v>1</v>
      </c>
      <c r="F599" s="236"/>
      <c r="G599" s="236">
        <v>0.7</v>
      </c>
      <c r="H599" s="236">
        <v>2.86</v>
      </c>
      <c r="I599" s="242">
        <v>1</v>
      </c>
      <c r="J599" s="237">
        <f t="shared" si="34"/>
        <v>6.42</v>
      </c>
      <c r="K599" s="113"/>
      <c r="L599" s="113"/>
      <c r="M599" s="113"/>
      <c r="N599" s="113"/>
      <c r="O599" s="113"/>
    </row>
    <row r="600" spans="2:15" x14ac:dyDescent="0.3">
      <c r="B600" s="152"/>
      <c r="C600" s="258" t="s">
        <v>843</v>
      </c>
      <c r="D600" s="239" t="s">
        <v>0</v>
      </c>
      <c r="E600" s="235">
        <v>1</v>
      </c>
      <c r="F600" s="236"/>
      <c r="G600" s="236">
        <v>1</v>
      </c>
      <c r="H600" s="236">
        <v>2.66</v>
      </c>
      <c r="I600" s="242">
        <v>1</v>
      </c>
      <c r="J600" s="237">
        <f t="shared" si="34"/>
        <v>6.32</v>
      </c>
      <c r="K600" s="113"/>
      <c r="L600" s="113"/>
      <c r="M600" s="113"/>
      <c r="N600" s="113"/>
      <c r="O600" s="113"/>
    </row>
    <row r="601" spans="2:15" x14ac:dyDescent="0.3">
      <c r="B601" s="152"/>
      <c r="C601" s="258" t="s">
        <v>836</v>
      </c>
      <c r="D601" s="234" t="s">
        <v>0</v>
      </c>
      <c r="E601" s="235">
        <v>1</v>
      </c>
      <c r="F601" s="236"/>
      <c r="G601" s="236">
        <v>1.2</v>
      </c>
      <c r="H601" s="236">
        <v>2.66</v>
      </c>
      <c r="I601" s="242">
        <v>1</v>
      </c>
      <c r="J601" s="237">
        <f t="shared" si="34"/>
        <v>6.5200000000000005</v>
      </c>
      <c r="K601" s="113"/>
      <c r="L601" s="113"/>
      <c r="M601" s="113"/>
      <c r="N601" s="113"/>
      <c r="O601" s="113"/>
    </row>
    <row r="602" spans="2:15" ht="14.4" x14ac:dyDescent="0.3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 ht="20.399999999999999" x14ac:dyDescent="0.3">
      <c r="B603" s="99" t="s">
        <v>1185</v>
      </c>
      <c r="C603" s="226" t="s">
        <v>846</v>
      </c>
      <c r="D603" s="101" t="s">
        <v>0</v>
      </c>
      <c r="E603" s="1"/>
      <c r="F603" s="2"/>
      <c r="G603" s="2"/>
      <c r="H603" s="2"/>
      <c r="I603" s="3"/>
      <c r="J603" s="103"/>
      <c r="K603" s="103"/>
      <c r="L603" s="103"/>
      <c r="M603" s="103"/>
      <c r="N603" s="103"/>
      <c r="O603" s="103">
        <f>SUM(K603:K625)</f>
        <v>303.39999999999998</v>
      </c>
    </row>
    <row r="604" spans="2:15" x14ac:dyDescent="0.3">
      <c r="B604" s="106"/>
      <c r="C604" s="227" t="s">
        <v>106</v>
      </c>
      <c r="D604" s="228"/>
      <c r="E604" s="229"/>
      <c r="F604" s="230"/>
      <c r="G604" s="230"/>
      <c r="H604" s="230"/>
      <c r="I604" s="229"/>
      <c r="J604" s="231"/>
      <c r="K604" s="231"/>
      <c r="L604" s="113"/>
      <c r="M604" s="113"/>
      <c r="N604" s="113"/>
      <c r="O604" s="113"/>
    </row>
    <row r="605" spans="2:15" x14ac:dyDescent="0.3">
      <c r="B605" s="114"/>
      <c r="C605" s="258" t="s">
        <v>518</v>
      </c>
      <c r="D605" s="234" t="s">
        <v>0</v>
      </c>
      <c r="E605" s="235">
        <v>1</v>
      </c>
      <c r="F605" s="236" t="s">
        <v>156</v>
      </c>
      <c r="G605" s="287">
        <v>8.33</v>
      </c>
      <c r="H605" s="236"/>
      <c r="I605" s="235">
        <v>1</v>
      </c>
      <c r="J605" s="237"/>
      <c r="K605" s="237">
        <f t="shared" ref="K605:K624" si="35">IF(E605="","",PRODUCT(E605:I605))</f>
        <v>8.33</v>
      </c>
      <c r="L605" s="111"/>
      <c r="M605" s="110"/>
      <c r="N605" s="111"/>
      <c r="O605" s="111"/>
    </row>
    <row r="606" spans="2:15" x14ac:dyDescent="0.3">
      <c r="B606" s="114"/>
      <c r="C606" s="258"/>
      <c r="D606" s="234" t="s">
        <v>0</v>
      </c>
      <c r="E606" s="235">
        <v>1</v>
      </c>
      <c r="F606" s="236" t="s">
        <v>156</v>
      </c>
      <c r="G606" s="287">
        <v>8.56</v>
      </c>
      <c r="H606" s="236"/>
      <c r="I606" s="235">
        <v>1</v>
      </c>
      <c r="J606" s="237"/>
      <c r="K606" s="237">
        <f t="shared" si="35"/>
        <v>8.56</v>
      </c>
      <c r="L606" s="111"/>
      <c r="M606" s="111"/>
      <c r="N606" s="111"/>
      <c r="O606" s="111"/>
    </row>
    <row r="607" spans="2:15" x14ac:dyDescent="0.3">
      <c r="B607" s="114"/>
      <c r="C607" s="258"/>
      <c r="D607" s="234" t="s">
        <v>0</v>
      </c>
      <c r="E607" s="235">
        <v>1</v>
      </c>
      <c r="F607" s="236" t="s">
        <v>156</v>
      </c>
      <c r="G607" s="287">
        <v>9.8000000000000007</v>
      </c>
      <c r="H607" s="236"/>
      <c r="I607" s="235">
        <v>1</v>
      </c>
      <c r="J607" s="237"/>
      <c r="K607" s="237">
        <f t="shared" si="35"/>
        <v>9.8000000000000007</v>
      </c>
      <c r="L607" s="111"/>
      <c r="M607" s="111"/>
      <c r="N607" s="111"/>
      <c r="O607" s="111"/>
    </row>
    <row r="608" spans="2:15" x14ac:dyDescent="0.3">
      <c r="B608" s="114"/>
      <c r="C608" s="258"/>
      <c r="D608" s="234" t="s">
        <v>0</v>
      </c>
      <c r="E608" s="235">
        <v>1</v>
      </c>
      <c r="F608" s="236" t="s">
        <v>156</v>
      </c>
      <c r="G608" s="287">
        <v>8.51</v>
      </c>
      <c r="H608" s="236"/>
      <c r="I608" s="235">
        <v>1</v>
      </c>
      <c r="J608" s="237"/>
      <c r="K608" s="237">
        <f t="shared" si="35"/>
        <v>8.51</v>
      </c>
      <c r="L608" s="111"/>
      <c r="M608" s="111"/>
      <c r="N608" s="111"/>
      <c r="O608" s="111"/>
    </row>
    <row r="609" spans="2:15" x14ac:dyDescent="0.3">
      <c r="B609" s="114"/>
      <c r="C609" s="258"/>
      <c r="D609" s="234" t="s">
        <v>0</v>
      </c>
      <c r="E609" s="235">
        <v>1</v>
      </c>
      <c r="F609" s="236" t="s">
        <v>156</v>
      </c>
      <c r="G609" s="287">
        <v>9.75</v>
      </c>
      <c r="H609" s="236"/>
      <c r="I609" s="235">
        <v>1</v>
      </c>
      <c r="J609" s="237"/>
      <c r="K609" s="237">
        <f t="shared" si="35"/>
        <v>9.75</v>
      </c>
      <c r="L609" s="111"/>
      <c r="M609" s="111"/>
      <c r="N609" s="111"/>
      <c r="O609" s="111"/>
    </row>
    <row r="610" spans="2:15" x14ac:dyDescent="0.3">
      <c r="B610" s="114"/>
      <c r="C610" s="258"/>
      <c r="D610" s="234" t="s">
        <v>0</v>
      </c>
      <c r="E610" s="235">
        <v>1</v>
      </c>
      <c r="F610" s="236" t="s">
        <v>156</v>
      </c>
      <c r="G610" s="287">
        <v>8.57</v>
      </c>
      <c r="H610" s="236"/>
      <c r="I610" s="235">
        <v>1</v>
      </c>
      <c r="J610" s="237"/>
      <c r="K610" s="237">
        <f t="shared" si="35"/>
        <v>8.57</v>
      </c>
      <c r="L610" s="111"/>
      <c r="M610" s="111"/>
      <c r="N610" s="111"/>
      <c r="O610" s="111"/>
    </row>
    <row r="611" spans="2:15" x14ac:dyDescent="0.3">
      <c r="B611" s="114"/>
      <c r="C611" s="258"/>
      <c r="D611" s="234" t="s">
        <v>0</v>
      </c>
      <c r="E611" s="235">
        <v>1</v>
      </c>
      <c r="F611" s="236" t="s">
        <v>156</v>
      </c>
      <c r="G611" s="287">
        <v>9.7799999999999994</v>
      </c>
      <c r="H611" s="236"/>
      <c r="I611" s="235">
        <v>1</v>
      </c>
      <c r="J611" s="237"/>
      <c r="K611" s="237">
        <f t="shared" si="35"/>
        <v>9.7799999999999994</v>
      </c>
      <c r="L611" s="111"/>
      <c r="M611" s="111"/>
      <c r="N611" s="111"/>
      <c r="O611" s="111"/>
    </row>
    <row r="612" spans="2:15" x14ac:dyDescent="0.3">
      <c r="B612" s="114"/>
      <c r="C612" s="258"/>
      <c r="D612" s="234" t="s">
        <v>0</v>
      </c>
      <c r="E612" s="235">
        <v>1</v>
      </c>
      <c r="F612" s="236" t="s">
        <v>156</v>
      </c>
      <c r="G612" s="287">
        <v>12.25</v>
      </c>
      <c r="H612" s="236"/>
      <c r="I612" s="235">
        <v>1</v>
      </c>
      <c r="J612" s="237"/>
      <c r="K612" s="237">
        <f t="shared" si="35"/>
        <v>12.25</v>
      </c>
      <c r="L612" s="111"/>
      <c r="M612" s="111"/>
      <c r="N612" s="111"/>
      <c r="O612" s="111"/>
    </row>
    <row r="613" spans="2:15" x14ac:dyDescent="0.3">
      <c r="B613" s="114"/>
      <c r="C613" s="258"/>
      <c r="D613" s="234" t="s">
        <v>0</v>
      </c>
      <c r="E613" s="235">
        <v>1</v>
      </c>
      <c r="F613" s="236" t="s">
        <v>156</v>
      </c>
      <c r="G613" s="287">
        <v>8.61</v>
      </c>
      <c r="H613" s="236"/>
      <c r="I613" s="235">
        <v>1</v>
      </c>
      <c r="J613" s="237"/>
      <c r="K613" s="237">
        <f t="shared" si="35"/>
        <v>8.61</v>
      </c>
      <c r="L613" s="111"/>
      <c r="M613" s="111"/>
      <c r="N613" s="111"/>
      <c r="O613" s="111"/>
    </row>
    <row r="614" spans="2:15" x14ac:dyDescent="0.3">
      <c r="B614" s="114"/>
      <c r="C614" s="258" t="s">
        <v>194</v>
      </c>
      <c r="D614" s="234" t="s">
        <v>0</v>
      </c>
      <c r="E614" s="235">
        <v>1</v>
      </c>
      <c r="F614" s="236" t="s">
        <v>156</v>
      </c>
      <c r="G614" s="287">
        <v>17.96</v>
      </c>
      <c r="H614" s="236"/>
      <c r="I614" s="235">
        <v>1</v>
      </c>
      <c r="J614" s="237"/>
      <c r="K614" s="237">
        <f t="shared" si="35"/>
        <v>17.96</v>
      </c>
      <c r="L614" s="111"/>
      <c r="M614" s="111"/>
      <c r="N614" s="111"/>
      <c r="O614" s="111"/>
    </row>
    <row r="615" spans="2:15" x14ac:dyDescent="0.3">
      <c r="B615" s="114"/>
      <c r="C615" s="258" t="s">
        <v>847</v>
      </c>
      <c r="D615" s="234" t="s">
        <v>0</v>
      </c>
      <c r="E615" s="235">
        <v>1</v>
      </c>
      <c r="F615" s="236" t="s">
        <v>156</v>
      </c>
      <c r="G615" s="287">
        <v>3.34</v>
      </c>
      <c r="H615" s="236"/>
      <c r="I615" s="235">
        <v>1</v>
      </c>
      <c r="J615" s="237"/>
      <c r="K615" s="237">
        <f t="shared" si="35"/>
        <v>3.34</v>
      </c>
      <c r="L615" s="111"/>
      <c r="M615" s="111"/>
      <c r="N615" s="111"/>
      <c r="O615" s="111"/>
    </row>
    <row r="616" spans="2:15" x14ac:dyDescent="0.3">
      <c r="B616" s="114"/>
      <c r="C616" s="258" t="s">
        <v>848</v>
      </c>
      <c r="D616" s="234" t="s">
        <v>0</v>
      </c>
      <c r="E616" s="235">
        <v>1</v>
      </c>
      <c r="F616" s="236" t="s">
        <v>156</v>
      </c>
      <c r="G616" s="287">
        <v>22.44</v>
      </c>
      <c r="H616" s="236"/>
      <c r="I616" s="235">
        <v>1</v>
      </c>
      <c r="J616" s="237"/>
      <c r="K616" s="237">
        <f t="shared" si="35"/>
        <v>22.44</v>
      </c>
      <c r="L616" s="111"/>
      <c r="M616" s="111"/>
      <c r="N616" s="111"/>
      <c r="O616" s="111"/>
    </row>
    <row r="617" spans="2:15" x14ac:dyDescent="0.3">
      <c r="B617" s="114"/>
      <c r="C617" s="258"/>
      <c r="D617" s="234" t="s">
        <v>0</v>
      </c>
      <c r="E617" s="235">
        <v>1</v>
      </c>
      <c r="F617" s="236" t="s">
        <v>156</v>
      </c>
      <c r="G617" s="287">
        <v>25.69</v>
      </c>
      <c r="H617" s="236"/>
      <c r="I617" s="235">
        <v>1</v>
      </c>
      <c r="J617" s="237"/>
      <c r="K617" s="237">
        <f t="shared" si="35"/>
        <v>25.69</v>
      </c>
      <c r="L617" s="111"/>
      <c r="M617" s="111"/>
      <c r="N617" s="111"/>
      <c r="O617" s="111"/>
    </row>
    <row r="618" spans="2:15" x14ac:dyDescent="0.3">
      <c r="B618" s="114"/>
      <c r="C618" s="258"/>
      <c r="D618" s="234" t="s">
        <v>0</v>
      </c>
      <c r="E618" s="235">
        <v>1</v>
      </c>
      <c r="F618" s="236" t="s">
        <v>156</v>
      </c>
      <c r="G618" s="287">
        <v>22.31</v>
      </c>
      <c r="H618" s="236"/>
      <c r="I618" s="235">
        <v>1</v>
      </c>
      <c r="J618" s="237"/>
      <c r="K618" s="237">
        <f t="shared" si="35"/>
        <v>22.31</v>
      </c>
      <c r="L618" s="111"/>
      <c r="M618" s="111"/>
      <c r="N618" s="111"/>
      <c r="O618" s="111"/>
    </row>
    <row r="619" spans="2:15" x14ac:dyDescent="0.3">
      <c r="B619" s="114"/>
      <c r="C619" s="258" t="s">
        <v>849</v>
      </c>
      <c r="D619" s="234" t="s">
        <v>0</v>
      </c>
      <c r="E619" s="235">
        <v>1</v>
      </c>
      <c r="F619" s="236" t="s">
        <v>156</v>
      </c>
      <c r="G619" s="287">
        <v>16.93</v>
      </c>
      <c r="H619" s="236"/>
      <c r="I619" s="235">
        <v>1</v>
      </c>
      <c r="J619" s="237"/>
      <c r="K619" s="237">
        <f t="shared" si="35"/>
        <v>16.93</v>
      </c>
      <c r="L619" s="111"/>
      <c r="M619" s="111"/>
      <c r="N619" s="111"/>
      <c r="O619" s="111"/>
    </row>
    <row r="620" spans="2:15" x14ac:dyDescent="0.3">
      <c r="B620" s="114"/>
      <c r="C620" s="258" t="s">
        <v>850</v>
      </c>
      <c r="D620" s="234" t="s">
        <v>0</v>
      </c>
      <c r="E620" s="235">
        <v>1</v>
      </c>
      <c r="F620" s="236" t="s">
        <v>156</v>
      </c>
      <c r="G620" s="287">
        <v>7.75</v>
      </c>
      <c r="H620" s="236"/>
      <c r="I620" s="235">
        <v>1</v>
      </c>
      <c r="J620" s="237"/>
      <c r="K620" s="237">
        <f t="shared" si="35"/>
        <v>7.75</v>
      </c>
      <c r="L620" s="111"/>
      <c r="M620" s="111"/>
      <c r="N620" s="111"/>
      <c r="O620" s="111"/>
    </row>
    <row r="621" spans="2:15" x14ac:dyDescent="0.3">
      <c r="B621" s="114"/>
      <c r="C621" s="258"/>
      <c r="D621" s="234" t="s">
        <v>0</v>
      </c>
      <c r="E621" s="235">
        <v>1</v>
      </c>
      <c r="F621" s="236" t="s">
        <v>156</v>
      </c>
      <c r="G621" s="287">
        <v>22.47</v>
      </c>
      <c r="H621" s="236"/>
      <c r="I621" s="235">
        <v>1</v>
      </c>
      <c r="J621" s="237"/>
      <c r="K621" s="237">
        <f t="shared" si="35"/>
        <v>22.47</v>
      </c>
      <c r="L621" s="111"/>
      <c r="M621" s="111"/>
      <c r="N621" s="111"/>
      <c r="O621" s="111"/>
    </row>
    <row r="622" spans="2:15" x14ac:dyDescent="0.3">
      <c r="B622" s="114"/>
      <c r="C622" s="258"/>
      <c r="D622" s="234" t="s">
        <v>0</v>
      </c>
      <c r="E622" s="235">
        <v>1</v>
      </c>
      <c r="F622" s="236" t="s">
        <v>156</v>
      </c>
      <c r="G622" s="287">
        <v>25.64</v>
      </c>
      <c r="H622" s="236"/>
      <c r="I622" s="235">
        <v>1</v>
      </c>
      <c r="J622" s="237"/>
      <c r="K622" s="237">
        <f t="shared" si="35"/>
        <v>25.64</v>
      </c>
      <c r="L622" s="111"/>
      <c r="M622" s="111"/>
      <c r="N622" s="111"/>
      <c r="O622" s="111"/>
    </row>
    <row r="623" spans="2:15" x14ac:dyDescent="0.3">
      <c r="B623" s="114"/>
      <c r="C623" s="258" t="s">
        <v>190</v>
      </c>
      <c r="D623" s="234" t="s">
        <v>0</v>
      </c>
      <c r="E623" s="235">
        <v>1</v>
      </c>
      <c r="F623" s="236" t="s">
        <v>156</v>
      </c>
      <c r="G623" s="236">
        <v>32.130000000000003</v>
      </c>
      <c r="H623" s="236"/>
      <c r="I623" s="235">
        <v>1</v>
      </c>
      <c r="J623" s="237"/>
      <c r="K623" s="237">
        <f t="shared" si="35"/>
        <v>32.130000000000003</v>
      </c>
      <c r="L623" s="111"/>
      <c r="M623" s="111"/>
      <c r="N623" s="111"/>
      <c r="O623" s="111"/>
    </row>
    <row r="624" spans="2:15" x14ac:dyDescent="0.3">
      <c r="B624" s="114"/>
      <c r="C624" s="258"/>
      <c r="D624" s="234" t="s">
        <v>0</v>
      </c>
      <c r="E624" s="235">
        <v>1</v>
      </c>
      <c r="F624" s="236" t="s">
        <v>156</v>
      </c>
      <c r="G624" s="236">
        <v>22.58</v>
      </c>
      <c r="H624" s="236"/>
      <c r="I624" s="235">
        <v>1</v>
      </c>
      <c r="J624" s="237"/>
      <c r="K624" s="237">
        <f t="shared" si="35"/>
        <v>22.58</v>
      </c>
      <c r="L624" s="111"/>
      <c r="M624" s="111"/>
      <c r="N624" s="111"/>
      <c r="O624" s="111"/>
    </row>
  </sheetData>
  <mergeCells count="10">
    <mergeCell ref="B2:O2"/>
    <mergeCell ref="C5:O6"/>
    <mergeCell ref="B13:B14"/>
    <mergeCell ref="C13:C14"/>
    <mergeCell ref="D13:D14"/>
    <mergeCell ref="E13:E14"/>
    <mergeCell ref="F13:H13"/>
    <mergeCell ref="I13:I14"/>
    <mergeCell ref="J13:N13"/>
    <mergeCell ref="O13:O14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5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2E6-0950-4A73-9977-A127506D0894}">
  <dimension ref="A1:W361"/>
  <sheetViews>
    <sheetView view="pageBreakPreview" topLeftCell="C330" zoomScale="130" zoomScaleNormal="85" zoomScaleSheetLayoutView="130" workbookViewId="0">
      <selection activeCell="C264" sqref="C264:P359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1132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286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100" t="s">
        <v>522</v>
      </c>
      <c r="E20" s="173" t="s">
        <v>0</v>
      </c>
      <c r="F20" s="174"/>
      <c r="G20" s="159"/>
      <c r="H20" s="159"/>
      <c r="I20" s="159"/>
      <c r="J20" s="160"/>
      <c r="K20" s="175"/>
      <c r="L20" s="175"/>
      <c r="M20" s="175"/>
      <c r="N20" s="175"/>
      <c r="O20" s="175"/>
      <c r="P20" s="175">
        <f>SUM(L20:L105)</f>
        <v>528.47550000000001</v>
      </c>
    </row>
    <row r="21" spans="1:16" s="170" customFormat="1" x14ac:dyDescent="0.3">
      <c r="C21" s="176"/>
      <c r="D21" s="177" t="s">
        <v>160</v>
      </c>
      <c r="E21" s="178"/>
      <c r="F21" s="179"/>
      <c r="G21" s="159"/>
      <c r="H21" s="159"/>
      <c r="I21" s="159"/>
      <c r="J21" s="160"/>
      <c r="K21" s="180"/>
      <c r="L21" s="180"/>
      <c r="M21" s="180"/>
      <c r="N21" s="180"/>
      <c r="O21" s="180"/>
      <c r="P21" s="180"/>
    </row>
    <row r="22" spans="1:16" s="170" customFormat="1" x14ac:dyDescent="0.3">
      <c r="C22" s="181"/>
      <c r="D22" s="182" t="s">
        <v>33</v>
      </c>
      <c r="E22" s="178"/>
      <c r="F22" s="179"/>
      <c r="G22" s="159"/>
      <c r="H22" s="159"/>
      <c r="I22" s="159"/>
      <c r="J22" s="160"/>
      <c r="K22" s="180"/>
      <c r="L22" s="180"/>
      <c r="M22" s="180"/>
      <c r="N22" s="180"/>
      <c r="O22" s="180"/>
      <c r="P22" s="180"/>
    </row>
    <row r="23" spans="1:16" s="170" customFormat="1" x14ac:dyDescent="0.3">
      <c r="C23" s="183"/>
      <c r="D23" s="141" t="s">
        <v>161</v>
      </c>
      <c r="E23" s="135" t="s">
        <v>0</v>
      </c>
      <c r="F23" s="142">
        <v>1</v>
      </c>
      <c r="G23" s="143">
        <v>2.65</v>
      </c>
      <c r="H23" s="143"/>
      <c r="I23" s="143">
        <v>2.1</v>
      </c>
      <c r="J23" s="5">
        <v>1</v>
      </c>
      <c r="K23" s="7"/>
      <c r="L23" s="7">
        <f t="shared" ref="L23:L31" si="0">PRODUCT(F23:J23)</f>
        <v>5.5650000000000004</v>
      </c>
      <c r="M23" s="188"/>
      <c r="N23" s="188"/>
      <c r="O23" s="188"/>
      <c r="P23" s="188"/>
    </row>
    <row r="24" spans="1:16" s="170" customFormat="1" x14ac:dyDescent="0.3">
      <c r="C24" s="183"/>
      <c r="D24" s="141" t="s">
        <v>162</v>
      </c>
      <c r="E24" s="135" t="s">
        <v>0</v>
      </c>
      <c r="F24" s="142">
        <v>1</v>
      </c>
      <c r="G24" s="143">
        <v>3.65</v>
      </c>
      <c r="H24" s="143"/>
      <c r="I24" s="143">
        <v>2.1</v>
      </c>
      <c r="J24" s="5">
        <v>1</v>
      </c>
      <c r="K24" s="7"/>
      <c r="L24" s="7">
        <f t="shared" si="0"/>
        <v>7.665</v>
      </c>
      <c r="M24" s="188"/>
      <c r="N24" s="188"/>
      <c r="O24" s="188"/>
      <c r="P24" s="188"/>
    </row>
    <row r="25" spans="1:16" s="170" customFormat="1" x14ac:dyDescent="0.3">
      <c r="C25" s="183"/>
      <c r="D25" s="141" t="s">
        <v>163</v>
      </c>
      <c r="E25" s="135" t="s">
        <v>0</v>
      </c>
      <c r="F25" s="142">
        <v>1</v>
      </c>
      <c r="G25" s="143">
        <v>2.65</v>
      </c>
      <c r="H25" s="143"/>
      <c r="I25" s="143">
        <v>2.1</v>
      </c>
      <c r="J25" s="5">
        <v>1</v>
      </c>
      <c r="K25" s="7"/>
      <c r="L25" s="7">
        <f t="shared" si="0"/>
        <v>5.5650000000000004</v>
      </c>
      <c r="M25" s="188"/>
      <c r="N25" s="188"/>
      <c r="O25" s="188"/>
      <c r="P25" s="188"/>
    </row>
    <row r="26" spans="1:16" s="170" customFormat="1" x14ac:dyDescent="0.3">
      <c r="C26" s="183"/>
      <c r="D26" s="141" t="s">
        <v>164</v>
      </c>
      <c r="E26" s="135" t="s">
        <v>0</v>
      </c>
      <c r="F26" s="142">
        <v>1</v>
      </c>
      <c r="G26" s="143">
        <v>2.65</v>
      </c>
      <c r="H26" s="143"/>
      <c r="I26" s="143">
        <v>2.1</v>
      </c>
      <c r="J26" s="5">
        <v>1</v>
      </c>
      <c r="K26" s="7"/>
      <c r="L26" s="7">
        <f t="shared" si="0"/>
        <v>5.5650000000000004</v>
      </c>
      <c r="M26" s="188"/>
      <c r="N26" s="188"/>
      <c r="O26" s="188"/>
      <c r="P26" s="188"/>
    </row>
    <row r="27" spans="1:16" s="170" customFormat="1" x14ac:dyDescent="0.3">
      <c r="C27" s="183"/>
      <c r="D27" s="141" t="s">
        <v>165</v>
      </c>
      <c r="E27" s="135" t="s">
        <v>0</v>
      </c>
      <c r="F27" s="142">
        <v>1</v>
      </c>
      <c r="G27" s="143">
        <v>3.65</v>
      </c>
      <c r="H27" s="143"/>
      <c r="I27" s="143">
        <v>2.1</v>
      </c>
      <c r="J27" s="5">
        <v>1</v>
      </c>
      <c r="K27" s="7"/>
      <c r="L27" s="7">
        <f t="shared" si="0"/>
        <v>7.665</v>
      </c>
      <c r="M27" s="188"/>
      <c r="N27" s="188"/>
      <c r="O27" s="188"/>
      <c r="P27" s="188"/>
    </row>
    <row r="28" spans="1:16" s="170" customFormat="1" x14ac:dyDescent="0.3">
      <c r="C28" s="183"/>
      <c r="D28" s="141" t="s">
        <v>166</v>
      </c>
      <c r="E28" s="135" t="s">
        <v>0</v>
      </c>
      <c r="F28" s="142">
        <v>1</v>
      </c>
      <c r="G28" s="143">
        <v>2.65</v>
      </c>
      <c r="H28" s="143"/>
      <c r="I28" s="143">
        <v>2.1</v>
      </c>
      <c r="J28" s="5">
        <v>1</v>
      </c>
      <c r="K28" s="7"/>
      <c r="L28" s="7">
        <f t="shared" si="0"/>
        <v>5.5650000000000004</v>
      </c>
      <c r="M28" s="188"/>
      <c r="N28" s="188"/>
      <c r="O28" s="188"/>
      <c r="P28" s="188"/>
    </row>
    <row r="29" spans="1:16" s="170" customFormat="1" x14ac:dyDescent="0.3">
      <c r="C29" s="183"/>
      <c r="D29" s="141" t="s">
        <v>167</v>
      </c>
      <c r="E29" s="135" t="s">
        <v>0</v>
      </c>
      <c r="F29" s="142">
        <v>1</v>
      </c>
      <c r="G29" s="143">
        <v>3.3</v>
      </c>
      <c r="H29" s="143"/>
      <c r="I29" s="143">
        <v>2.9</v>
      </c>
      <c r="J29" s="5">
        <v>1</v>
      </c>
      <c r="K29" s="7"/>
      <c r="L29" s="7">
        <f t="shared" si="0"/>
        <v>9.5699999999999985</v>
      </c>
      <c r="M29" s="188"/>
      <c r="N29" s="188"/>
      <c r="O29" s="188"/>
      <c r="P29" s="188"/>
    </row>
    <row r="30" spans="1:16" s="170" customFormat="1" x14ac:dyDescent="0.3">
      <c r="C30" s="183"/>
      <c r="D30" s="141" t="s">
        <v>168</v>
      </c>
      <c r="E30" s="135" t="s">
        <v>0</v>
      </c>
      <c r="F30" s="142">
        <v>1</v>
      </c>
      <c r="G30" s="143">
        <v>3</v>
      </c>
      <c r="H30" s="143"/>
      <c r="I30" s="143">
        <v>2.9</v>
      </c>
      <c r="J30" s="5">
        <v>2</v>
      </c>
      <c r="K30" s="7"/>
      <c r="L30" s="7">
        <f t="shared" si="0"/>
        <v>17.399999999999999</v>
      </c>
      <c r="M30" s="188"/>
      <c r="N30" s="188"/>
      <c r="O30" s="188"/>
      <c r="P30" s="188"/>
    </row>
    <row r="31" spans="1:16" s="170" customFormat="1" x14ac:dyDescent="0.3">
      <c r="C31" s="183"/>
      <c r="D31" s="141" t="s">
        <v>169</v>
      </c>
      <c r="E31" s="135" t="s">
        <v>0</v>
      </c>
      <c r="F31" s="142">
        <v>1</v>
      </c>
      <c r="G31" s="143">
        <v>3.3</v>
      </c>
      <c r="H31" s="143"/>
      <c r="I31" s="143">
        <v>2.9</v>
      </c>
      <c r="J31" s="5">
        <v>1</v>
      </c>
      <c r="K31" s="7"/>
      <c r="L31" s="7">
        <f t="shared" si="0"/>
        <v>9.5699999999999985</v>
      </c>
      <c r="M31" s="188"/>
      <c r="N31" s="188"/>
      <c r="O31" s="188"/>
      <c r="P31" s="188"/>
    </row>
    <row r="32" spans="1:16" s="170" customFormat="1" x14ac:dyDescent="0.3">
      <c r="C32" s="181"/>
      <c r="D32" s="182" t="s">
        <v>68</v>
      </c>
      <c r="E32" s="189"/>
      <c r="F32" s="190"/>
      <c r="G32" s="191"/>
      <c r="H32" s="191"/>
      <c r="I32" s="191"/>
      <c r="J32" s="160"/>
      <c r="K32" s="180"/>
      <c r="L32" s="180"/>
      <c r="M32" s="180"/>
      <c r="N32" s="180"/>
      <c r="O32" s="180"/>
      <c r="P32" s="180"/>
    </row>
    <row r="33" spans="3:16" s="170" customFormat="1" x14ac:dyDescent="0.3">
      <c r="C33" s="183"/>
      <c r="D33" s="141" t="s">
        <v>161</v>
      </c>
      <c r="E33" s="135" t="s">
        <v>0</v>
      </c>
      <c r="F33" s="142">
        <v>1</v>
      </c>
      <c r="G33" s="143">
        <v>2.65</v>
      </c>
      <c r="H33" s="143"/>
      <c r="I33" s="147">
        <v>2.1</v>
      </c>
      <c r="J33" s="5">
        <v>1</v>
      </c>
      <c r="K33" s="7"/>
      <c r="L33" s="7">
        <f t="shared" ref="L33:L43" si="1">PRODUCT(F33:J33)</f>
        <v>5.5650000000000004</v>
      </c>
      <c r="M33" s="188"/>
      <c r="N33" s="188"/>
      <c r="O33" s="188"/>
      <c r="P33" s="188"/>
    </row>
    <row r="34" spans="3:16" s="170" customFormat="1" x14ac:dyDescent="0.3">
      <c r="C34" s="183"/>
      <c r="D34" s="141" t="s">
        <v>162</v>
      </c>
      <c r="E34" s="135" t="s">
        <v>0</v>
      </c>
      <c r="F34" s="142">
        <v>1</v>
      </c>
      <c r="G34" s="143">
        <v>2.65</v>
      </c>
      <c r="H34" s="143"/>
      <c r="I34" s="147">
        <v>2.1</v>
      </c>
      <c r="J34" s="5">
        <v>1</v>
      </c>
      <c r="K34" s="7"/>
      <c r="L34" s="7">
        <f t="shared" si="1"/>
        <v>5.5650000000000004</v>
      </c>
      <c r="M34" s="188"/>
      <c r="N34" s="188"/>
      <c r="O34" s="188"/>
      <c r="P34" s="188"/>
    </row>
    <row r="35" spans="3:16" s="170" customFormat="1" x14ac:dyDescent="0.3">
      <c r="C35" s="183"/>
      <c r="D35" s="141" t="s">
        <v>163</v>
      </c>
      <c r="E35" s="135" t="s">
        <v>0</v>
      </c>
      <c r="F35" s="142">
        <v>1</v>
      </c>
      <c r="G35" s="143">
        <v>2.15</v>
      </c>
      <c r="H35" s="143"/>
      <c r="I35" s="147">
        <v>2.1</v>
      </c>
      <c r="J35" s="5">
        <v>1</v>
      </c>
      <c r="K35" s="7"/>
      <c r="L35" s="7">
        <f t="shared" si="1"/>
        <v>4.5149999999999997</v>
      </c>
      <c r="M35" s="188"/>
      <c r="N35" s="188"/>
      <c r="O35" s="188"/>
      <c r="P35" s="188"/>
    </row>
    <row r="36" spans="3:16" s="170" customFormat="1" x14ac:dyDescent="0.3">
      <c r="C36" s="183"/>
      <c r="D36" s="141" t="s">
        <v>164</v>
      </c>
      <c r="E36" s="135" t="s">
        <v>0</v>
      </c>
      <c r="F36" s="142">
        <v>1</v>
      </c>
      <c r="G36" s="143">
        <v>2.65</v>
      </c>
      <c r="H36" s="143"/>
      <c r="I36" s="147">
        <v>2.1</v>
      </c>
      <c r="J36" s="5">
        <v>1</v>
      </c>
      <c r="K36" s="7"/>
      <c r="L36" s="7">
        <f t="shared" si="1"/>
        <v>5.5650000000000004</v>
      </c>
      <c r="M36" s="188"/>
      <c r="N36" s="188"/>
      <c r="O36" s="188"/>
      <c r="P36" s="188"/>
    </row>
    <row r="37" spans="3:16" s="170" customFormat="1" x14ac:dyDescent="0.3">
      <c r="C37" s="183"/>
      <c r="D37" s="141" t="s">
        <v>165</v>
      </c>
      <c r="E37" s="135" t="s">
        <v>0</v>
      </c>
      <c r="F37" s="142">
        <v>1</v>
      </c>
      <c r="G37" s="143">
        <v>2.65</v>
      </c>
      <c r="H37" s="143"/>
      <c r="I37" s="147">
        <v>2.1</v>
      </c>
      <c r="J37" s="5">
        <v>1</v>
      </c>
      <c r="K37" s="7"/>
      <c r="L37" s="7">
        <f t="shared" si="1"/>
        <v>5.5650000000000004</v>
      </c>
      <c r="M37" s="188"/>
      <c r="N37" s="188"/>
      <c r="O37" s="188"/>
      <c r="P37" s="188"/>
    </row>
    <row r="38" spans="3:16" s="170" customFormat="1" x14ac:dyDescent="0.3">
      <c r="C38" s="183"/>
      <c r="D38" s="141" t="s">
        <v>166</v>
      </c>
      <c r="E38" s="135" t="s">
        <v>0</v>
      </c>
      <c r="F38" s="142">
        <v>1</v>
      </c>
      <c r="G38" s="143">
        <v>2.65</v>
      </c>
      <c r="H38" s="143"/>
      <c r="I38" s="147">
        <v>2.1</v>
      </c>
      <c r="J38" s="5">
        <v>1</v>
      </c>
      <c r="K38" s="7"/>
      <c r="L38" s="7">
        <f t="shared" si="1"/>
        <v>5.5650000000000004</v>
      </c>
      <c r="M38" s="188"/>
      <c r="N38" s="188"/>
      <c r="O38" s="188"/>
      <c r="P38" s="188"/>
    </row>
    <row r="39" spans="3:16" s="170" customFormat="1" x14ac:dyDescent="0.3">
      <c r="C39" s="183"/>
      <c r="D39" s="141" t="s">
        <v>167</v>
      </c>
      <c r="E39" s="135" t="s">
        <v>0</v>
      </c>
      <c r="F39" s="142">
        <v>1</v>
      </c>
      <c r="G39" s="143">
        <v>3.3</v>
      </c>
      <c r="H39" s="143"/>
      <c r="I39" s="143">
        <v>2.92</v>
      </c>
      <c r="J39" s="5">
        <v>1</v>
      </c>
      <c r="K39" s="7"/>
      <c r="L39" s="7">
        <f t="shared" si="1"/>
        <v>9.6359999999999992</v>
      </c>
      <c r="M39" s="188"/>
      <c r="N39" s="188"/>
      <c r="O39" s="188"/>
      <c r="P39" s="188"/>
    </row>
    <row r="40" spans="3:16" s="170" customFormat="1" x14ac:dyDescent="0.3">
      <c r="C40" s="183"/>
      <c r="D40" s="141" t="s">
        <v>170</v>
      </c>
      <c r="E40" s="135" t="s">
        <v>0</v>
      </c>
      <c r="F40" s="142">
        <v>1</v>
      </c>
      <c r="G40" s="143">
        <v>6.4</v>
      </c>
      <c r="H40" s="143"/>
      <c r="I40" s="143">
        <v>2.92</v>
      </c>
      <c r="J40" s="5">
        <v>2</v>
      </c>
      <c r="K40" s="7"/>
      <c r="L40" s="7">
        <f t="shared" si="1"/>
        <v>37.375999999999998</v>
      </c>
      <c r="M40" s="188"/>
      <c r="N40" s="188"/>
      <c r="O40" s="188"/>
      <c r="P40" s="188"/>
    </row>
    <row r="41" spans="3:16" s="170" customFormat="1" x14ac:dyDescent="0.3">
      <c r="C41" s="183"/>
      <c r="D41" s="141" t="s">
        <v>168</v>
      </c>
      <c r="E41" s="135" t="s">
        <v>0</v>
      </c>
      <c r="F41" s="142">
        <v>1</v>
      </c>
      <c r="G41" s="143">
        <v>3</v>
      </c>
      <c r="H41" s="143"/>
      <c r="I41" s="143">
        <v>2.92</v>
      </c>
      <c r="J41" s="5">
        <v>2</v>
      </c>
      <c r="K41" s="7"/>
      <c r="L41" s="7">
        <f t="shared" si="1"/>
        <v>17.52</v>
      </c>
      <c r="M41" s="188"/>
      <c r="N41" s="188"/>
      <c r="O41" s="188"/>
      <c r="P41" s="188"/>
    </row>
    <row r="42" spans="3:16" s="170" customFormat="1" x14ac:dyDescent="0.3">
      <c r="C42" s="183"/>
      <c r="D42" s="141" t="s">
        <v>171</v>
      </c>
      <c r="E42" s="135" t="s">
        <v>0</v>
      </c>
      <c r="F42" s="142">
        <v>1</v>
      </c>
      <c r="G42" s="143">
        <v>6.4</v>
      </c>
      <c r="H42" s="143"/>
      <c r="I42" s="143">
        <v>2.92</v>
      </c>
      <c r="J42" s="5">
        <v>2</v>
      </c>
      <c r="K42" s="7"/>
      <c r="L42" s="7">
        <f t="shared" si="1"/>
        <v>37.375999999999998</v>
      </c>
      <c r="M42" s="188"/>
      <c r="N42" s="188"/>
      <c r="O42" s="188"/>
      <c r="P42" s="188"/>
    </row>
    <row r="43" spans="3:16" s="170" customFormat="1" x14ac:dyDescent="0.3">
      <c r="C43" s="183"/>
      <c r="D43" s="141" t="s">
        <v>169</v>
      </c>
      <c r="E43" s="135" t="s">
        <v>0</v>
      </c>
      <c r="F43" s="142">
        <v>1</v>
      </c>
      <c r="G43" s="143">
        <v>3.3</v>
      </c>
      <c r="H43" s="143"/>
      <c r="I43" s="143">
        <v>2.92</v>
      </c>
      <c r="J43" s="5">
        <v>1</v>
      </c>
      <c r="K43" s="7"/>
      <c r="L43" s="7">
        <f t="shared" si="1"/>
        <v>9.6359999999999992</v>
      </c>
      <c r="M43" s="188"/>
      <c r="N43" s="188"/>
      <c r="O43" s="188"/>
      <c r="P43" s="188"/>
    </row>
    <row r="44" spans="3:16" s="170" customFormat="1" x14ac:dyDescent="0.3">
      <c r="C44" s="181"/>
      <c r="D44" s="182" t="s">
        <v>45</v>
      </c>
      <c r="E44" s="178"/>
      <c r="F44" s="179"/>
      <c r="G44" s="159"/>
      <c r="H44" s="159"/>
      <c r="I44" s="159"/>
      <c r="J44" s="160"/>
      <c r="K44" s="180"/>
      <c r="L44" s="180"/>
      <c r="M44" s="180"/>
      <c r="N44" s="180"/>
      <c r="O44" s="180"/>
      <c r="P44" s="180"/>
    </row>
    <row r="45" spans="3:16" s="170" customFormat="1" x14ac:dyDescent="0.3">
      <c r="C45" s="183"/>
      <c r="D45" s="145" t="s">
        <v>167</v>
      </c>
      <c r="E45" s="128" t="s">
        <v>0</v>
      </c>
      <c r="F45" s="146">
        <v>1</v>
      </c>
      <c r="G45" s="147">
        <v>3.3</v>
      </c>
      <c r="H45" s="147"/>
      <c r="I45" s="147">
        <v>2.92</v>
      </c>
      <c r="J45" s="129">
        <v>1</v>
      </c>
      <c r="K45" s="130"/>
      <c r="L45" s="130">
        <f>PRODUCT(F45:J45)</f>
        <v>9.6359999999999992</v>
      </c>
      <c r="M45" s="188"/>
      <c r="N45" s="188"/>
      <c r="O45" s="188"/>
      <c r="P45" s="188"/>
    </row>
    <row r="46" spans="3:16" s="170" customFormat="1" x14ac:dyDescent="0.3">
      <c r="C46" s="183"/>
      <c r="D46" s="145" t="s">
        <v>169</v>
      </c>
      <c r="E46" s="128" t="s">
        <v>0</v>
      </c>
      <c r="F46" s="146">
        <v>1</v>
      </c>
      <c r="G46" s="147">
        <v>3.3</v>
      </c>
      <c r="H46" s="147"/>
      <c r="I46" s="147">
        <v>2.92</v>
      </c>
      <c r="J46" s="129">
        <v>1</v>
      </c>
      <c r="K46" s="130"/>
      <c r="L46" s="130">
        <f>PRODUCT(F46:J46)</f>
        <v>9.6359999999999992</v>
      </c>
      <c r="M46" s="188"/>
      <c r="N46" s="188"/>
      <c r="O46" s="188"/>
      <c r="P46" s="188"/>
    </row>
    <row r="47" spans="3:16" s="170" customFormat="1" x14ac:dyDescent="0.3">
      <c r="C47" s="181"/>
      <c r="D47" s="192" t="s">
        <v>52</v>
      </c>
      <c r="E47" s="193"/>
      <c r="F47" s="160"/>
      <c r="G47" s="191"/>
      <c r="H47" s="191"/>
      <c r="I47" s="191"/>
      <c r="J47" s="160"/>
      <c r="K47" s="180"/>
      <c r="L47" s="180"/>
      <c r="M47" s="180"/>
      <c r="N47" s="180"/>
      <c r="O47" s="180"/>
      <c r="P47" s="180"/>
    </row>
    <row r="48" spans="3:16" s="170" customFormat="1" x14ac:dyDescent="0.3">
      <c r="C48" s="183"/>
      <c r="D48" s="145" t="s">
        <v>172</v>
      </c>
      <c r="E48" s="128" t="s">
        <v>0</v>
      </c>
      <c r="F48" s="146">
        <v>6</v>
      </c>
      <c r="G48" s="147" t="s">
        <v>156</v>
      </c>
      <c r="H48" s="147"/>
      <c r="I48" s="147">
        <v>0.57999999999999996</v>
      </c>
      <c r="J48" s="129">
        <v>1</v>
      </c>
      <c r="K48" s="130"/>
      <c r="L48" s="130">
        <f t="shared" ref="L48:L49" si="2">PRODUCT(F48:J48)</f>
        <v>3.4799999999999995</v>
      </c>
      <c r="M48" s="188"/>
      <c r="N48" s="188"/>
      <c r="O48" s="188"/>
      <c r="P48" s="188"/>
    </row>
    <row r="49" spans="3:16" s="170" customFormat="1" x14ac:dyDescent="0.3">
      <c r="C49" s="183"/>
      <c r="D49" s="145" t="s">
        <v>173</v>
      </c>
      <c r="E49" s="128" t="s">
        <v>0</v>
      </c>
      <c r="F49" s="146">
        <v>6</v>
      </c>
      <c r="G49" s="147" t="s">
        <v>156</v>
      </c>
      <c r="H49" s="147"/>
      <c r="I49" s="147">
        <v>0.57999999999999996</v>
      </c>
      <c r="J49" s="129">
        <v>1</v>
      </c>
      <c r="K49" s="130"/>
      <c r="L49" s="130">
        <f t="shared" si="2"/>
        <v>3.4799999999999995</v>
      </c>
      <c r="M49" s="188"/>
      <c r="N49" s="188"/>
      <c r="O49" s="188"/>
      <c r="P49" s="188"/>
    </row>
    <row r="50" spans="3:16" s="170" customFormat="1" x14ac:dyDescent="0.3">
      <c r="C50" s="181"/>
      <c r="D50" s="182"/>
      <c r="E50" s="189"/>
      <c r="F50" s="179"/>
      <c r="G50" s="159"/>
      <c r="H50" s="159"/>
      <c r="I50" s="159"/>
      <c r="J50" s="160"/>
      <c r="K50" s="180"/>
      <c r="L50" s="180"/>
      <c r="M50" s="180"/>
      <c r="N50" s="180"/>
      <c r="O50" s="180"/>
      <c r="P50" s="180"/>
    </row>
    <row r="51" spans="3:16" s="170" customFormat="1" x14ac:dyDescent="0.3">
      <c r="C51" s="176"/>
      <c r="D51" s="177" t="s">
        <v>174</v>
      </c>
      <c r="E51" s="178"/>
      <c r="F51" s="179"/>
      <c r="G51" s="159"/>
      <c r="H51" s="159"/>
      <c r="I51" s="159"/>
      <c r="J51" s="160"/>
      <c r="K51" s="180"/>
      <c r="L51" s="180"/>
      <c r="M51" s="180"/>
      <c r="N51" s="180"/>
      <c r="O51" s="180"/>
      <c r="P51" s="180"/>
    </row>
    <row r="52" spans="3:16" s="170" customFormat="1" x14ac:dyDescent="0.3">
      <c r="C52" s="181"/>
      <c r="D52" s="182" t="s">
        <v>33</v>
      </c>
      <c r="E52" s="178"/>
      <c r="F52" s="179"/>
      <c r="G52" s="159"/>
      <c r="H52" s="159"/>
      <c r="I52" s="159"/>
      <c r="J52" s="160"/>
      <c r="K52" s="180"/>
      <c r="L52" s="180"/>
      <c r="M52" s="180"/>
      <c r="N52" s="180"/>
      <c r="O52" s="180"/>
      <c r="P52" s="180"/>
    </row>
    <row r="53" spans="3:16" s="170" customFormat="1" x14ac:dyDescent="0.3">
      <c r="C53" s="183"/>
      <c r="D53" s="145" t="s">
        <v>175</v>
      </c>
      <c r="E53" s="128" t="s">
        <v>0</v>
      </c>
      <c r="F53" s="146">
        <v>1</v>
      </c>
      <c r="G53" s="147">
        <v>8.6999999999999993</v>
      </c>
      <c r="H53" s="147"/>
      <c r="I53" s="147">
        <v>2.1</v>
      </c>
      <c r="J53" s="129">
        <v>1</v>
      </c>
      <c r="K53" s="130"/>
      <c r="L53" s="130">
        <f t="shared" ref="L53" si="3">PRODUCT(F53:J53)</f>
        <v>18.27</v>
      </c>
      <c r="M53" s="188"/>
      <c r="N53" s="188"/>
      <c r="O53" s="188"/>
      <c r="P53" s="188"/>
    </row>
    <row r="54" spans="3:16" s="170" customFormat="1" x14ac:dyDescent="0.3">
      <c r="C54" s="183"/>
      <c r="D54" s="145" t="s">
        <v>176</v>
      </c>
      <c r="E54" s="128" t="s">
        <v>0</v>
      </c>
      <c r="F54" s="146">
        <v>1</v>
      </c>
      <c r="G54" s="147">
        <v>1.05</v>
      </c>
      <c r="H54" s="147"/>
      <c r="I54" s="147">
        <v>3</v>
      </c>
      <c r="J54" s="129">
        <v>1</v>
      </c>
      <c r="K54" s="130"/>
      <c r="L54" s="130">
        <f>PRODUCT(F54:J54)</f>
        <v>3.1500000000000004</v>
      </c>
      <c r="M54" s="188"/>
      <c r="N54" s="188"/>
      <c r="O54" s="188"/>
      <c r="P54" s="188"/>
    </row>
    <row r="55" spans="3:16" s="170" customFormat="1" x14ac:dyDescent="0.3">
      <c r="C55" s="181"/>
      <c r="D55" s="182" t="s">
        <v>45</v>
      </c>
      <c r="E55" s="178"/>
      <c r="F55" s="179"/>
      <c r="G55" s="159"/>
      <c r="H55" s="159"/>
      <c r="I55" s="159"/>
      <c r="J55" s="160"/>
      <c r="K55" s="180"/>
      <c r="L55" s="180"/>
      <c r="M55" s="180"/>
      <c r="N55" s="180"/>
      <c r="O55" s="180"/>
      <c r="P55" s="180"/>
    </row>
    <row r="56" spans="3:16" s="170" customFormat="1" x14ac:dyDescent="0.3">
      <c r="C56" s="181"/>
      <c r="D56" s="145" t="s">
        <v>161</v>
      </c>
      <c r="E56" s="128" t="s">
        <v>0</v>
      </c>
      <c r="F56" s="146">
        <v>1</v>
      </c>
      <c r="G56" s="147">
        <v>3.65</v>
      </c>
      <c r="H56" s="147"/>
      <c r="I56" s="147">
        <v>2.1</v>
      </c>
      <c r="J56" s="129">
        <v>1</v>
      </c>
      <c r="K56" s="130"/>
      <c r="L56" s="130">
        <f t="shared" ref="L56:L70" si="4">PRODUCT(F56:J56)</f>
        <v>7.665</v>
      </c>
      <c r="M56" s="180"/>
      <c r="N56" s="180"/>
      <c r="O56" s="180"/>
      <c r="P56" s="180"/>
    </row>
    <row r="57" spans="3:16" s="170" customFormat="1" x14ac:dyDescent="0.3">
      <c r="C57" s="183"/>
      <c r="D57" s="145" t="s">
        <v>163</v>
      </c>
      <c r="E57" s="128" t="s">
        <v>0</v>
      </c>
      <c r="F57" s="146">
        <v>1</v>
      </c>
      <c r="G57" s="147">
        <v>1.37</v>
      </c>
      <c r="H57" s="147"/>
      <c r="I57" s="147">
        <v>2.1</v>
      </c>
      <c r="J57" s="129">
        <v>1</v>
      </c>
      <c r="K57" s="130"/>
      <c r="L57" s="130">
        <f t="shared" si="4"/>
        <v>2.8770000000000002</v>
      </c>
      <c r="M57" s="188"/>
      <c r="N57" s="188"/>
      <c r="O57" s="188"/>
      <c r="P57" s="188"/>
    </row>
    <row r="58" spans="3:16" s="170" customFormat="1" x14ac:dyDescent="0.3">
      <c r="C58" s="183"/>
      <c r="D58" s="145"/>
      <c r="E58" s="128" t="s">
        <v>0</v>
      </c>
      <c r="F58" s="146">
        <v>1</v>
      </c>
      <c r="G58" s="147">
        <v>1.2</v>
      </c>
      <c r="H58" s="147"/>
      <c r="I58" s="147">
        <v>2.1</v>
      </c>
      <c r="J58" s="129">
        <v>1</v>
      </c>
      <c r="K58" s="130"/>
      <c r="L58" s="130">
        <f t="shared" si="4"/>
        <v>2.52</v>
      </c>
      <c r="M58" s="188"/>
      <c r="N58" s="188"/>
      <c r="O58" s="188"/>
      <c r="P58" s="188"/>
    </row>
    <row r="59" spans="3:16" s="170" customFormat="1" x14ac:dyDescent="0.3">
      <c r="C59" s="183"/>
      <c r="D59" s="145"/>
      <c r="E59" s="128" t="s">
        <v>0</v>
      </c>
      <c r="F59" s="146">
        <v>1</v>
      </c>
      <c r="G59" s="147">
        <v>0.77</v>
      </c>
      <c r="H59" s="147"/>
      <c r="I59" s="147">
        <v>2.1</v>
      </c>
      <c r="J59" s="129">
        <v>1</v>
      </c>
      <c r="K59" s="130"/>
      <c r="L59" s="130">
        <f t="shared" si="4"/>
        <v>1.6170000000000002</v>
      </c>
      <c r="M59" s="188"/>
      <c r="N59" s="188"/>
      <c r="O59" s="188"/>
      <c r="P59" s="188"/>
    </row>
    <row r="60" spans="3:16" s="170" customFormat="1" x14ac:dyDescent="0.3">
      <c r="C60" s="183"/>
      <c r="D60" s="145"/>
      <c r="E60" s="128" t="s">
        <v>0</v>
      </c>
      <c r="F60" s="146">
        <v>2</v>
      </c>
      <c r="G60" s="147">
        <v>0.15</v>
      </c>
      <c r="H60" s="147"/>
      <c r="I60" s="147">
        <v>2.95</v>
      </c>
      <c r="J60" s="129">
        <v>1</v>
      </c>
      <c r="K60" s="130"/>
      <c r="L60" s="130">
        <f t="shared" si="4"/>
        <v>0.88500000000000001</v>
      </c>
      <c r="M60" s="188"/>
      <c r="N60" s="188"/>
      <c r="O60" s="188"/>
      <c r="P60" s="188"/>
    </row>
    <row r="61" spans="3:16" s="170" customFormat="1" x14ac:dyDescent="0.3">
      <c r="C61" s="183"/>
      <c r="D61" s="145" t="s">
        <v>177</v>
      </c>
      <c r="E61" s="128" t="s">
        <v>0</v>
      </c>
      <c r="F61" s="146">
        <v>1</v>
      </c>
      <c r="G61" s="147">
        <v>1.7</v>
      </c>
      <c r="H61" s="147"/>
      <c r="I61" s="147">
        <v>2.1</v>
      </c>
      <c r="J61" s="129">
        <v>1</v>
      </c>
      <c r="K61" s="130"/>
      <c r="L61" s="130">
        <f t="shared" si="4"/>
        <v>3.57</v>
      </c>
      <c r="M61" s="188"/>
      <c r="N61" s="188"/>
      <c r="O61" s="188"/>
      <c r="P61" s="188"/>
    </row>
    <row r="62" spans="3:16" s="170" customFormat="1" x14ac:dyDescent="0.3">
      <c r="C62" s="183"/>
      <c r="D62" s="145" t="s">
        <v>178</v>
      </c>
      <c r="E62" s="128" t="s">
        <v>0</v>
      </c>
      <c r="F62" s="146">
        <v>1</v>
      </c>
      <c r="G62" s="147">
        <v>0.95</v>
      </c>
      <c r="H62" s="147"/>
      <c r="I62" s="147">
        <v>2.95</v>
      </c>
      <c r="J62" s="129">
        <v>1</v>
      </c>
      <c r="K62" s="130"/>
      <c r="L62" s="130">
        <f t="shared" si="4"/>
        <v>2.8025000000000002</v>
      </c>
      <c r="M62" s="188"/>
      <c r="N62" s="188"/>
      <c r="O62" s="188"/>
      <c r="P62" s="188"/>
    </row>
    <row r="63" spans="3:16" s="170" customFormat="1" x14ac:dyDescent="0.3">
      <c r="C63" s="183"/>
      <c r="D63" s="145" t="s">
        <v>165</v>
      </c>
      <c r="E63" s="128" t="s">
        <v>0</v>
      </c>
      <c r="F63" s="146">
        <v>1</v>
      </c>
      <c r="G63" s="147">
        <v>3.65</v>
      </c>
      <c r="H63" s="147"/>
      <c r="I63" s="147">
        <v>2.1</v>
      </c>
      <c r="J63" s="129">
        <v>1</v>
      </c>
      <c r="K63" s="130"/>
      <c r="L63" s="130">
        <f t="shared" si="4"/>
        <v>7.665</v>
      </c>
      <c r="M63" s="188"/>
      <c r="N63" s="188"/>
      <c r="O63" s="188"/>
      <c r="P63" s="188"/>
    </row>
    <row r="64" spans="3:16" s="170" customFormat="1" x14ac:dyDescent="0.3">
      <c r="C64" s="183"/>
      <c r="D64" s="145" t="s">
        <v>166</v>
      </c>
      <c r="E64" s="128" t="s">
        <v>0</v>
      </c>
      <c r="F64" s="146">
        <v>1</v>
      </c>
      <c r="G64" s="147">
        <v>3.65</v>
      </c>
      <c r="H64" s="147"/>
      <c r="I64" s="147">
        <v>2.1</v>
      </c>
      <c r="J64" s="129">
        <v>1</v>
      </c>
      <c r="K64" s="130"/>
      <c r="L64" s="130">
        <f t="shared" si="4"/>
        <v>7.665</v>
      </c>
      <c r="M64" s="188"/>
      <c r="N64" s="188"/>
      <c r="O64" s="188"/>
      <c r="P64" s="188"/>
    </row>
    <row r="65" spans="3:16" s="170" customFormat="1" x14ac:dyDescent="0.3">
      <c r="C65" s="183"/>
      <c r="D65" s="145" t="s">
        <v>170</v>
      </c>
      <c r="E65" s="128" t="s">
        <v>0</v>
      </c>
      <c r="F65" s="146">
        <v>1</v>
      </c>
      <c r="G65" s="147">
        <v>1.9</v>
      </c>
      <c r="H65" s="147"/>
      <c r="I65" s="147">
        <v>2.9</v>
      </c>
      <c r="J65" s="146">
        <v>2</v>
      </c>
      <c r="K65" s="130"/>
      <c r="L65" s="130">
        <f t="shared" si="4"/>
        <v>11.02</v>
      </c>
      <c r="M65" s="188"/>
      <c r="N65" s="188"/>
      <c r="O65" s="188"/>
      <c r="P65" s="188"/>
    </row>
    <row r="66" spans="3:16" s="170" customFormat="1" x14ac:dyDescent="0.3">
      <c r="C66" s="183"/>
      <c r="D66" s="145" t="s">
        <v>179</v>
      </c>
      <c r="E66" s="128" t="s">
        <v>0</v>
      </c>
      <c r="F66" s="146">
        <v>1</v>
      </c>
      <c r="G66" s="147">
        <v>1.95</v>
      </c>
      <c r="H66" s="147"/>
      <c r="I66" s="147">
        <v>3.6</v>
      </c>
      <c r="J66" s="146">
        <v>2</v>
      </c>
      <c r="K66" s="130"/>
      <c r="L66" s="130">
        <f t="shared" si="4"/>
        <v>14.04</v>
      </c>
      <c r="M66" s="188"/>
      <c r="N66" s="188"/>
      <c r="O66" s="188"/>
      <c r="P66" s="188"/>
    </row>
    <row r="67" spans="3:16" s="170" customFormat="1" x14ac:dyDescent="0.3">
      <c r="C67" s="183"/>
      <c r="D67" s="145" t="s">
        <v>179</v>
      </c>
      <c r="E67" s="128" t="s">
        <v>0</v>
      </c>
      <c r="F67" s="146">
        <v>1</v>
      </c>
      <c r="G67" s="147">
        <v>1.95</v>
      </c>
      <c r="H67" s="147"/>
      <c r="I67" s="147">
        <v>3.36</v>
      </c>
      <c r="J67" s="146">
        <v>2</v>
      </c>
      <c r="K67" s="130"/>
      <c r="L67" s="130">
        <f t="shared" si="4"/>
        <v>13.103999999999999</v>
      </c>
      <c r="M67" s="188"/>
      <c r="N67" s="188"/>
      <c r="O67" s="188"/>
      <c r="P67" s="188"/>
    </row>
    <row r="68" spans="3:16" s="170" customFormat="1" x14ac:dyDescent="0.3">
      <c r="C68" s="183"/>
      <c r="D68" s="145" t="s">
        <v>180</v>
      </c>
      <c r="E68" s="128" t="s">
        <v>0</v>
      </c>
      <c r="F68" s="146">
        <v>1</v>
      </c>
      <c r="G68" s="147">
        <v>2.1</v>
      </c>
      <c r="H68" s="147"/>
      <c r="I68" s="147">
        <v>3.77</v>
      </c>
      <c r="J68" s="146">
        <v>2</v>
      </c>
      <c r="K68" s="130"/>
      <c r="L68" s="130">
        <f t="shared" si="4"/>
        <v>15.834000000000001</v>
      </c>
      <c r="M68" s="188"/>
      <c r="N68" s="188"/>
      <c r="O68" s="188"/>
      <c r="P68" s="188"/>
    </row>
    <row r="69" spans="3:16" s="170" customFormat="1" x14ac:dyDescent="0.3">
      <c r="C69" s="183"/>
      <c r="D69" s="145" t="s">
        <v>181</v>
      </c>
      <c r="E69" s="128" t="s">
        <v>0</v>
      </c>
      <c r="F69" s="146">
        <v>1</v>
      </c>
      <c r="G69" s="147">
        <v>1</v>
      </c>
      <c r="H69" s="147"/>
      <c r="I69" s="147">
        <v>2.9</v>
      </c>
      <c r="J69" s="146">
        <v>2</v>
      </c>
      <c r="K69" s="130"/>
      <c r="L69" s="130">
        <f t="shared" si="4"/>
        <v>5.8</v>
      </c>
      <c r="M69" s="188"/>
      <c r="N69" s="188"/>
      <c r="O69" s="188"/>
      <c r="P69" s="188"/>
    </row>
    <row r="70" spans="3:16" s="170" customFormat="1" x14ac:dyDescent="0.3">
      <c r="C70" s="183"/>
      <c r="D70" s="145" t="s">
        <v>182</v>
      </c>
      <c r="E70" s="128" t="s">
        <v>0</v>
      </c>
      <c r="F70" s="146">
        <v>1</v>
      </c>
      <c r="G70" s="147">
        <v>1.1200000000000001</v>
      </c>
      <c r="H70" s="147"/>
      <c r="I70" s="147">
        <v>2.9</v>
      </c>
      <c r="J70" s="129">
        <v>2</v>
      </c>
      <c r="K70" s="130"/>
      <c r="L70" s="130">
        <f t="shared" si="4"/>
        <v>6.4960000000000004</v>
      </c>
      <c r="M70" s="188"/>
      <c r="N70" s="188"/>
      <c r="O70" s="188"/>
      <c r="P70" s="188"/>
    </row>
    <row r="71" spans="3:16" s="170" customFormat="1" x14ac:dyDescent="0.3">
      <c r="C71" s="181"/>
      <c r="D71" s="182"/>
      <c r="E71" s="189"/>
      <c r="F71" s="179"/>
      <c r="G71" s="159"/>
      <c r="H71" s="159"/>
      <c r="I71" s="159"/>
      <c r="J71" s="160"/>
      <c r="K71" s="180"/>
      <c r="L71" s="180"/>
      <c r="M71" s="180"/>
      <c r="N71" s="180"/>
      <c r="O71" s="180"/>
      <c r="P71" s="180"/>
    </row>
    <row r="72" spans="3:16" s="170" customFormat="1" x14ac:dyDescent="0.3">
      <c r="C72" s="176"/>
      <c r="D72" s="177" t="s">
        <v>183</v>
      </c>
      <c r="E72" s="178"/>
      <c r="F72" s="179"/>
      <c r="G72" s="159"/>
      <c r="H72" s="159"/>
      <c r="I72" s="159"/>
      <c r="J72" s="160"/>
      <c r="K72" s="180"/>
      <c r="L72" s="180"/>
      <c r="M72" s="180"/>
      <c r="N72" s="180"/>
      <c r="O72" s="180"/>
      <c r="P72" s="180"/>
    </row>
    <row r="73" spans="3:16" s="170" customFormat="1" x14ac:dyDescent="0.3">
      <c r="C73" s="176"/>
      <c r="D73" s="182" t="s">
        <v>127</v>
      </c>
      <c r="E73" s="178"/>
      <c r="F73" s="179"/>
      <c r="G73" s="159"/>
      <c r="H73" s="159"/>
      <c r="I73" s="159"/>
      <c r="J73" s="160"/>
      <c r="K73" s="180"/>
      <c r="L73" s="180"/>
      <c r="M73" s="180"/>
      <c r="N73" s="180"/>
      <c r="O73" s="180"/>
      <c r="P73" s="180"/>
    </row>
    <row r="74" spans="3:16" s="170" customFormat="1" x14ac:dyDescent="0.3">
      <c r="C74" s="176"/>
      <c r="D74" s="145" t="s">
        <v>184</v>
      </c>
      <c r="E74" s="128" t="s">
        <v>0</v>
      </c>
      <c r="F74" s="146">
        <v>6</v>
      </c>
      <c r="G74" s="147">
        <v>0.95</v>
      </c>
      <c r="H74" s="147"/>
      <c r="I74" s="147">
        <v>3</v>
      </c>
      <c r="J74" s="129">
        <v>1</v>
      </c>
      <c r="K74" s="130"/>
      <c r="L74" s="130">
        <f>PRODUCT(F74:J74)</f>
        <v>17.099999999999998</v>
      </c>
      <c r="M74" s="180"/>
      <c r="N74" s="180"/>
      <c r="O74" s="180"/>
      <c r="P74" s="180"/>
    </row>
    <row r="75" spans="3:16" s="170" customFormat="1" x14ac:dyDescent="0.3">
      <c r="C75" s="176"/>
      <c r="D75" s="145" t="s">
        <v>184</v>
      </c>
      <c r="E75" s="128" t="s">
        <v>0</v>
      </c>
      <c r="F75" s="146">
        <v>12</v>
      </c>
      <c r="G75" s="147">
        <v>1.41</v>
      </c>
      <c r="H75" s="147"/>
      <c r="I75" s="147">
        <v>3</v>
      </c>
      <c r="J75" s="129">
        <v>1</v>
      </c>
      <c r="K75" s="130"/>
      <c r="L75" s="130">
        <f>PRODUCT(F75:J75)</f>
        <v>50.759999999999991</v>
      </c>
      <c r="M75" s="180"/>
      <c r="N75" s="180"/>
      <c r="O75" s="180"/>
      <c r="P75" s="180"/>
    </row>
    <row r="76" spans="3:16" s="170" customFormat="1" x14ac:dyDescent="0.3">
      <c r="C76" s="176"/>
      <c r="D76" s="145" t="s">
        <v>184</v>
      </c>
      <c r="E76" s="128" t="s">
        <v>0</v>
      </c>
      <c r="F76" s="146">
        <v>18</v>
      </c>
      <c r="G76" s="147">
        <v>0.55000000000000004</v>
      </c>
      <c r="H76" s="147"/>
      <c r="I76" s="147">
        <v>1.05</v>
      </c>
      <c r="J76" s="129">
        <v>1</v>
      </c>
      <c r="K76" s="130"/>
      <c r="L76" s="130">
        <f>PRODUCT(F76:J76)</f>
        <v>10.395000000000001</v>
      </c>
      <c r="M76" s="180"/>
      <c r="N76" s="180"/>
      <c r="O76" s="180"/>
      <c r="P76" s="180"/>
    </row>
    <row r="77" spans="3:16" s="170" customFormat="1" x14ac:dyDescent="0.3">
      <c r="C77" s="181"/>
      <c r="D77" s="182" t="s">
        <v>68</v>
      </c>
      <c r="E77" s="189"/>
      <c r="F77" s="179"/>
      <c r="G77" s="159"/>
      <c r="H77" s="159"/>
      <c r="I77" s="159"/>
      <c r="J77" s="160"/>
      <c r="K77" s="180"/>
      <c r="L77" s="180"/>
      <c r="M77" s="180"/>
      <c r="N77" s="180"/>
      <c r="O77" s="180"/>
      <c r="P77" s="180"/>
    </row>
    <row r="78" spans="3:16" s="170" customFormat="1" x14ac:dyDescent="0.3">
      <c r="C78" s="183"/>
      <c r="D78" s="145" t="s">
        <v>184</v>
      </c>
      <c r="E78" s="128" t="s">
        <v>0</v>
      </c>
      <c r="F78" s="146">
        <v>6</v>
      </c>
      <c r="G78" s="147">
        <v>0.95</v>
      </c>
      <c r="H78" s="147"/>
      <c r="I78" s="147">
        <v>3</v>
      </c>
      <c r="J78" s="129">
        <v>1</v>
      </c>
      <c r="K78" s="130"/>
      <c r="L78" s="130">
        <f>PRODUCT(F78:J78)</f>
        <v>17.099999999999998</v>
      </c>
      <c r="M78" s="188"/>
      <c r="N78" s="188"/>
      <c r="O78" s="188"/>
      <c r="P78" s="188"/>
    </row>
    <row r="79" spans="3:16" s="170" customFormat="1" x14ac:dyDescent="0.3">
      <c r="C79" s="183"/>
      <c r="D79" s="145" t="s">
        <v>184</v>
      </c>
      <c r="E79" s="128" t="s">
        <v>0</v>
      </c>
      <c r="F79" s="146">
        <v>12</v>
      </c>
      <c r="G79" s="147">
        <v>1.41</v>
      </c>
      <c r="H79" s="147"/>
      <c r="I79" s="147">
        <v>3</v>
      </c>
      <c r="J79" s="129">
        <v>1</v>
      </c>
      <c r="K79" s="130"/>
      <c r="L79" s="130">
        <f>PRODUCT(F79:J79)</f>
        <v>50.759999999999991</v>
      </c>
      <c r="M79" s="188"/>
      <c r="N79" s="188"/>
      <c r="O79" s="188"/>
      <c r="P79" s="188"/>
    </row>
    <row r="80" spans="3:16" s="170" customFormat="1" x14ac:dyDescent="0.3">
      <c r="C80" s="181"/>
      <c r="D80" s="182" t="s">
        <v>106</v>
      </c>
      <c r="E80" s="189"/>
      <c r="F80" s="179"/>
      <c r="G80" s="159"/>
      <c r="H80" s="159"/>
      <c r="I80" s="159"/>
      <c r="J80" s="160"/>
      <c r="K80" s="180"/>
      <c r="L80" s="180"/>
      <c r="M80" s="180"/>
      <c r="N80" s="180"/>
      <c r="O80" s="180"/>
      <c r="P80" s="180"/>
    </row>
    <row r="81" spans="3:16" s="170" customFormat="1" x14ac:dyDescent="0.3">
      <c r="C81" s="181"/>
      <c r="D81" s="145" t="s">
        <v>184</v>
      </c>
      <c r="E81" s="128" t="s">
        <v>0</v>
      </c>
      <c r="F81" s="146">
        <v>6</v>
      </c>
      <c r="G81" s="147">
        <v>0.95</v>
      </c>
      <c r="H81" s="147"/>
      <c r="I81" s="147">
        <v>3</v>
      </c>
      <c r="J81" s="129">
        <v>1</v>
      </c>
      <c r="K81" s="130"/>
      <c r="L81" s="130">
        <f>PRODUCT(F81:J81)</f>
        <v>17.099999999999998</v>
      </c>
      <c r="M81" s="180"/>
      <c r="N81" s="180"/>
      <c r="O81" s="180"/>
      <c r="P81" s="180"/>
    </row>
    <row r="82" spans="3:16" s="170" customFormat="1" x14ac:dyDescent="0.3">
      <c r="C82" s="183"/>
      <c r="D82" s="145" t="s">
        <v>184</v>
      </c>
      <c r="E82" s="128" t="s">
        <v>0</v>
      </c>
      <c r="F82" s="146">
        <v>12</v>
      </c>
      <c r="G82" s="147">
        <v>1.41</v>
      </c>
      <c r="H82" s="147"/>
      <c r="I82" s="147">
        <v>3</v>
      </c>
      <c r="J82" s="129">
        <v>1</v>
      </c>
      <c r="K82" s="130"/>
      <c r="L82" s="130">
        <f>PRODUCT(F82:J82)</f>
        <v>50.759999999999991</v>
      </c>
      <c r="M82" s="188"/>
      <c r="N82" s="188"/>
      <c r="O82" s="188"/>
      <c r="P82" s="188"/>
    </row>
    <row r="83" spans="3:16" s="170" customFormat="1" x14ac:dyDescent="0.3">
      <c r="C83" s="183"/>
      <c r="D83" s="145" t="s">
        <v>185</v>
      </c>
      <c r="E83" s="128" t="s">
        <v>0</v>
      </c>
      <c r="F83" s="146">
        <v>18</v>
      </c>
      <c r="G83" s="147">
        <v>0.55000000000000004</v>
      </c>
      <c r="H83" s="147"/>
      <c r="I83" s="147">
        <v>0.45</v>
      </c>
      <c r="J83" s="129">
        <v>1</v>
      </c>
      <c r="K83" s="130"/>
      <c r="L83" s="130">
        <f>PRODUCT(F83:J83)</f>
        <v>4.4550000000000001</v>
      </c>
      <c r="M83" s="188"/>
      <c r="N83" s="188"/>
      <c r="O83" s="188"/>
      <c r="P83" s="188"/>
    </row>
    <row r="84" spans="3:16" s="170" customFormat="1" x14ac:dyDescent="0.3">
      <c r="C84" s="183"/>
      <c r="D84" s="145" t="s">
        <v>181</v>
      </c>
      <c r="E84" s="128" t="s">
        <v>0</v>
      </c>
      <c r="F84" s="146">
        <v>1</v>
      </c>
      <c r="G84" s="147">
        <v>0.65</v>
      </c>
      <c r="H84" s="147"/>
      <c r="I84" s="147">
        <v>3.5</v>
      </c>
      <c r="J84" s="129">
        <v>2</v>
      </c>
      <c r="K84" s="130"/>
      <c r="L84" s="130">
        <f t="shared" ref="L84:L85" si="5">PRODUCT(F84:J84)</f>
        <v>4.55</v>
      </c>
      <c r="M84" s="188"/>
      <c r="N84" s="188"/>
      <c r="O84" s="188"/>
      <c r="P84" s="188"/>
    </row>
    <row r="85" spans="3:16" s="170" customFormat="1" x14ac:dyDescent="0.3">
      <c r="C85" s="183"/>
      <c r="D85" s="145"/>
      <c r="E85" s="128" t="s">
        <v>0</v>
      </c>
      <c r="F85" s="146">
        <v>1</v>
      </c>
      <c r="G85" s="147">
        <v>0.5</v>
      </c>
      <c r="H85" s="147"/>
      <c r="I85" s="147">
        <v>3.5</v>
      </c>
      <c r="J85" s="129">
        <v>2</v>
      </c>
      <c r="K85" s="130"/>
      <c r="L85" s="130">
        <f t="shared" si="5"/>
        <v>3.5</v>
      </c>
      <c r="M85" s="188"/>
      <c r="N85" s="188"/>
      <c r="O85" s="188"/>
      <c r="P85" s="188"/>
    </row>
    <row r="86" spans="3:16" s="170" customFormat="1" x14ac:dyDescent="0.3">
      <c r="C86" s="181"/>
      <c r="D86" s="182"/>
      <c r="E86" s="189"/>
      <c r="F86" s="179"/>
      <c r="G86" s="159"/>
      <c r="H86" s="159"/>
      <c r="I86" s="159"/>
      <c r="J86" s="160"/>
      <c r="K86" s="180"/>
      <c r="L86" s="180"/>
      <c r="M86" s="180"/>
      <c r="N86" s="180"/>
      <c r="O86" s="180"/>
      <c r="P86" s="180"/>
    </row>
    <row r="87" spans="3:16" s="170" customFormat="1" x14ac:dyDescent="0.3">
      <c r="C87" s="181"/>
      <c r="D87" s="197" t="s">
        <v>186</v>
      </c>
      <c r="E87" s="189"/>
      <c r="F87" s="160"/>
      <c r="G87" s="191"/>
      <c r="H87" s="191"/>
      <c r="I87" s="180"/>
      <c r="J87" s="190"/>
      <c r="K87" s="180"/>
      <c r="L87" s="180"/>
      <c r="M87" s="180"/>
      <c r="N87" s="180"/>
      <c r="O87" s="180"/>
      <c r="P87" s="180"/>
    </row>
    <row r="88" spans="3:16" s="170" customFormat="1" x14ac:dyDescent="0.3">
      <c r="C88" s="181"/>
      <c r="D88" s="182" t="s">
        <v>33</v>
      </c>
      <c r="E88" s="178"/>
      <c r="F88" s="179"/>
      <c r="G88" s="159"/>
      <c r="H88" s="159"/>
      <c r="I88" s="159"/>
      <c r="J88" s="160"/>
      <c r="K88" s="180"/>
      <c r="L88" s="180"/>
      <c r="M88" s="180"/>
      <c r="N88" s="180"/>
      <c r="O88" s="180"/>
      <c r="P88" s="180"/>
    </row>
    <row r="89" spans="3:16" s="170" customFormat="1" x14ac:dyDescent="0.3">
      <c r="C89" s="181"/>
      <c r="D89" s="198" t="s">
        <v>187</v>
      </c>
      <c r="E89" s="184"/>
      <c r="F89" s="185"/>
      <c r="G89" s="186"/>
      <c r="H89" s="186"/>
      <c r="I89" s="186"/>
      <c r="J89" s="187"/>
      <c r="K89" s="188"/>
      <c r="L89" s="188"/>
      <c r="M89" s="180"/>
      <c r="N89" s="180"/>
      <c r="O89" s="180"/>
      <c r="P89" s="180"/>
    </row>
    <row r="90" spans="3:16" s="170" customFormat="1" x14ac:dyDescent="0.3">
      <c r="C90" s="181"/>
      <c r="D90" s="145" t="s">
        <v>188</v>
      </c>
      <c r="E90" s="128" t="s">
        <v>0</v>
      </c>
      <c r="F90" s="146">
        <v>-1</v>
      </c>
      <c r="G90" s="147">
        <v>3.05</v>
      </c>
      <c r="H90" s="147"/>
      <c r="I90" s="147">
        <v>2.1</v>
      </c>
      <c r="J90" s="129">
        <v>1</v>
      </c>
      <c r="K90" s="130"/>
      <c r="L90" s="130">
        <f t="shared" ref="L90:L93" si="6">PRODUCT(F90:J90)</f>
        <v>-6.4050000000000002</v>
      </c>
      <c r="M90" s="180"/>
      <c r="N90" s="180"/>
      <c r="O90" s="180"/>
      <c r="P90" s="180"/>
    </row>
    <row r="91" spans="3:16" s="170" customFormat="1" x14ac:dyDescent="0.3">
      <c r="C91" s="181"/>
      <c r="D91" s="4" t="s">
        <v>189</v>
      </c>
      <c r="E91" s="128" t="s">
        <v>0</v>
      </c>
      <c r="F91" s="146">
        <v>-1</v>
      </c>
      <c r="G91" s="147">
        <v>4.45</v>
      </c>
      <c r="H91" s="147"/>
      <c r="I91" s="147">
        <v>0.4</v>
      </c>
      <c r="J91" s="129">
        <v>1</v>
      </c>
      <c r="K91" s="130"/>
      <c r="L91" s="130">
        <f t="shared" si="6"/>
        <v>-1.7800000000000002</v>
      </c>
      <c r="M91" s="180"/>
      <c r="N91" s="180"/>
      <c r="O91" s="180"/>
      <c r="P91" s="180"/>
    </row>
    <row r="92" spans="3:16" s="170" customFormat="1" x14ac:dyDescent="0.3">
      <c r="C92" s="181"/>
      <c r="D92" s="145"/>
      <c r="E92" s="128" t="s">
        <v>0</v>
      </c>
      <c r="F92" s="146">
        <v>-1</v>
      </c>
      <c r="G92" s="147">
        <v>5.3</v>
      </c>
      <c r="H92" s="147"/>
      <c r="I92" s="147">
        <v>0.4</v>
      </c>
      <c r="J92" s="129">
        <v>1</v>
      </c>
      <c r="K92" s="130"/>
      <c r="L92" s="130">
        <f t="shared" si="6"/>
        <v>-2.12</v>
      </c>
      <c r="M92" s="180"/>
      <c r="N92" s="180"/>
      <c r="O92" s="180"/>
      <c r="P92" s="180"/>
    </row>
    <row r="93" spans="3:16" s="170" customFormat="1" x14ac:dyDescent="0.3">
      <c r="C93" s="181"/>
      <c r="D93" s="145"/>
      <c r="E93" s="128" t="s">
        <v>0</v>
      </c>
      <c r="F93" s="146">
        <v>-1</v>
      </c>
      <c r="G93" s="147">
        <v>2.5499999999999998</v>
      </c>
      <c r="H93" s="147"/>
      <c r="I93" s="147">
        <v>0.4</v>
      </c>
      <c r="J93" s="129">
        <v>1</v>
      </c>
      <c r="K93" s="130"/>
      <c r="L93" s="130">
        <f t="shared" si="6"/>
        <v>-1.02</v>
      </c>
      <c r="M93" s="180"/>
      <c r="N93" s="180"/>
      <c r="O93" s="180"/>
      <c r="P93" s="180"/>
    </row>
    <row r="94" spans="3:16" s="170" customFormat="1" x14ac:dyDescent="0.3">
      <c r="C94" s="181"/>
      <c r="D94" s="198" t="s">
        <v>190</v>
      </c>
      <c r="E94" s="184"/>
      <c r="F94" s="185"/>
      <c r="G94" s="186"/>
      <c r="H94" s="186"/>
      <c r="I94" s="186"/>
      <c r="J94" s="187"/>
      <c r="K94" s="188"/>
      <c r="L94" s="188"/>
      <c r="M94" s="180"/>
      <c r="N94" s="180"/>
      <c r="O94" s="180"/>
      <c r="P94" s="180"/>
    </row>
    <row r="95" spans="3:16" s="170" customFormat="1" x14ac:dyDescent="0.3">
      <c r="C95" s="181"/>
      <c r="D95" s="4" t="s">
        <v>191</v>
      </c>
      <c r="E95" s="128" t="s">
        <v>0</v>
      </c>
      <c r="F95" s="146">
        <v>-1</v>
      </c>
      <c r="G95" s="147">
        <v>7.3</v>
      </c>
      <c r="H95" s="147"/>
      <c r="I95" s="147">
        <v>0.4</v>
      </c>
      <c r="J95" s="129">
        <v>1</v>
      </c>
      <c r="K95" s="130"/>
      <c r="L95" s="130">
        <f t="shared" ref="L95" si="7">PRODUCT(F95:J95)</f>
        <v>-2.92</v>
      </c>
      <c r="M95" s="180"/>
      <c r="N95" s="180"/>
      <c r="O95" s="180"/>
      <c r="P95" s="180"/>
    </row>
    <row r="96" spans="3:16" s="170" customFormat="1" x14ac:dyDescent="0.3">
      <c r="C96" s="181"/>
      <c r="D96" s="182" t="s">
        <v>134</v>
      </c>
      <c r="E96" s="178"/>
      <c r="F96" s="179"/>
      <c r="G96" s="159"/>
      <c r="H96" s="159"/>
      <c r="I96" s="159"/>
      <c r="J96" s="160"/>
      <c r="K96" s="180"/>
      <c r="L96" s="180"/>
      <c r="M96" s="180"/>
      <c r="N96" s="180"/>
      <c r="O96" s="180"/>
      <c r="P96" s="180"/>
    </row>
    <row r="97" spans="1:16" s="170" customFormat="1" x14ac:dyDescent="0.3">
      <c r="C97" s="181"/>
      <c r="D97" s="198" t="s">
        <v>192</v>
      </c>
      <c r="E97" s="184"/>
      <c r="F97" s="185"/>
      <c r="G97" s="186"/>
      <c r="H97" s="186"/>
      <c r="I97" s="186"/>
      <c r="J97" s="187"/>
      <c r="K97" s="188"/>
      <c r="L97" s="188"/>
      <c r="M97" s="180"/>
      <c r="N97" s="180"/>
      <c r="O97" s="180"/>
      <c r="P97" s="180"/>
    </row>
    <row r="98" spans="1:16" s="170" customFormat="1" x14ac:dyDescent="0.3">
      <c r="C98" s="181"/>
      <c r="D98" s="145" t="s">
        <v>193</v>
      </c>
      <c r="E98" s="128" t="s">
        <v>0</v>
      </c>
      <c r="F98" s="146">
        <v>-1</v>
      </c>
      <c r="G98" s="147">
        <v>0.9</v>
      </c>
      <c r="H98" s="147"/>
      <c r="I98" s="147">
        <v>0.4</v>
      </c>
      <c r="J98" s="129">
        <v>1</v>
      </c>
      <c r="K98" s="130"/>
      <c r="L98" s="130">
        <f t="shared" ref="L98" si="8">PRODUCT(F98:J98)</f>
        <v>-0.36000000000000004</v>
      </c>
      <c r="M98" s="180"/>
      <c r="N98" s="180"/>
      <c r="O98" s="180"/>
      <c r="P98" s="180"/>
    </row>
    <row r="99" spans="1:16" s="170" customFormat="1" x14ac:dyDescent="0.3">
      <c r="C99" s="181"/>
      <c r="D99" s="182" t="s">
        <v>45</v>
      </c>
      <c r="E99" s="178"/>
      <c r="F99" s="179"/>
      <c r="G99" s="159"/>
      <c r="H99" s="159"/>
      <c r="I99" s="159"/>
      <c r="J99" s="160"/>
      <c r="K99" s="180"/>
      <c r="L99" s="180"/>
      <c r="M99" s="180"/>
      <c r="N99" s="180"/>
      <c r="O99" s="180"/>
      <c r="P99" s="180"/>
    </row>
    <row r="100" spans="1:16" s="170" customFormat="1" x14ac:dyDescent="0.3">
      <c r="C100" s="181"/>
      <c r="D100" s="198" t="s">
        <v>194</v>
      </c>
      <c r="E100" s="178"/>
      <c r="F100" s="179"/>
      <c r="G100" s="159"/>
      <c r="H100" s="159"/>
      <c r="I100" s="159"/>
      <c r="J100" s="160"/>
      <c r="K100" s="180"/>
      <c r="L100" s="180"/>
      <c r="M100" s="180"/>
      <c r="N100" s="180"/>
      <c r="O100" s="180"/>
      <c r="P100" s="180"/>
    </row>
    <row r="101" spans="1:16" s="170" customFormat="1" x14ac:dyDescent="0.3">
      <c r="C101" s="181"/>
      <c r="D101" s="141" t="s">
        <v>195</v>
      </c>
      <c r="E101" s="151" t="s">
        <v>0</v>
      </c>
      <c r="F101" s="146">
        <v>-1</v>
      </c>
      <c r="G101" s="6">
        <f>6.6-1-0.1*2</f>
        <v>5.3999999999999995</v>
      </c>
      <c r="H101" s="143"/>
      <c r="I101" s="143">
        <v>2.1</v>
      </c>
      <c r="J101" s="5">
        <v>1</v>
      </c>
      <c r="K101" s="7"/>
      <c r="L101" s="7">
        <f>PRODUCT(F101:J101)</f>
        <v>-11.34</v>
      </c>
      <c r="M101" s="180"/>
      <c r="N101" s="180"/>
      <c r="O101" s="180"/>
      <c r="P101" s="180"/>
    </row>
    <row r="102" spans="1:16" s="170" customFormat="1" x14ac:dyDescent="0.3">
      <c r="C102" s="181"/>
      <c r="D102" s="141" t="s">
        <v>195</v>
      </c>
      <c r="E102" s="151" t="s">
        <v>0</v>
      </c>
      <c r="F102" s="146">
        <v>-1</v>
      </c>
      <c r="G102" s="6">
        <f>6.6-1-0.1*2</f>
        <v>5.3999999999999995</v>
      </c>
      <c r="H102" s="143"/>
      <c r="I102" s="143">
        <v>2.1</v>
      </c>
      <c r="J102" s="5">
        <v>1</v>
      </c>
      <c r="K102" s="7"/>
      <c r="L102" s="7">
        <f>PRODUCT(F102:J102)</f>
        <v>-11.34</v>
      </c>
      <c r="M102" s="180"/>
      <c r="N102" s="180"/>
      <c r="O102" s="180"/>
      <c r="P102" s="180"/>
    </row>
    <row r="103" spans="1:16" s="170" customFormat="1" x14ac:dyDescent="0.3">
      <c r="C103" s="181"/>
      <c r="D103" s="141" t="s">
        <v>196</v>
      </c>
      <c r="E103" s="151" t="s">
        <v>0</v>
      </c>
      <c r="F103" s="146">
        <v>-1</v>
      </c>
      <c r="G103" s="6">
        <f>8.21-1-0.1*2</f>
        <v>7.0100000000000007</v>
      </c>
      <c r="H103" s="143"/>
      <c r="I103" s="143">
        <v>2.1</v>
      </c>
      <c r="J103" s="5">
        <v>1</v>
      </c>
      <c r="K103" s="7"/>
      <c r="L103" s="7">
        <f>PRODUCT(F103:J103)</f>
        <v>-14.721000000000002</v>
      </c>
      <c r="M103" s="180"/>
      <c r="N103" s="180"/>
      <c r="O103" s="180"/>
      <c r="P103" s="180"/>
    </row>
    <row r="104" spans="1:16" s="170" customFormat="1" x14ac:dyDescent="0.3">
      <c r="C104" s="181"/>
      <c r="D104" s="141" t="s">
        <v>196</v>
      </c>
      <c r="E104" s="151" t="s">
        <v>0</v>
      </c>
      <c r="F104" s="146">
        <v>-1</v>
      </c>
      <c r="G104" s="6">
        <f>8.45-1-0.1*2</f>
        <v>7.2499999999999991</v>
      </c>
      <c r="H104" s="143"/>
      <c r="I104" s="143">
        <v>2.1</v>
      </c>
      <c r="J104" s="5">
        <v>1</v>
      </c>
      <c r="K104" s="7"/>
      <c r="L104" s="7">
        <f>PRODUCT(F104:J104)</f>
        <v>-15.225</v>
      </c>
      <c r="M104" s="180"/>
      <c r="N104" s="180"/>
      <c r="O104" s="180"/>
      <c r="P104" s="180"/>
    </row>
    <row r="105" spans="1:16" s="170" customFormat="1" x14ac:dyDescent="0.3">
      <c r="C105" s="181"/>
      <c r="D105" s="192"/>
      <c r="E105" s="189"/>
      <c r="F105" s="160"/>
      <c r="G105" s="191"/>
      <c r="H105" s="191"/>
      <c r="I105" s="180"/>
      <c r="J105" s="190"/>
      <c r="K105" s="180"/>
      <c r="L105" s="180"/>
      <c r="M105" s="180"/>
      <c r="N105" s="180"/>
      <c r="O105" s="180"/>
      <c r="P105" s="180"/>
    </row>
    <row r="106" spans="1:16" s="170" customFormat="1" x14ac:dyDescent="0.3">
      <c r="A106" s="170">
        <v>3</v>
      </c>
      <c r="C106" s="99" t="s">
        <v>1181</v>
      </c>
      <c r="D106" s="100" t="s">
        <v>521</v>
      </c>
      <c r="E106" s="173" t="s">
        <v>0</v>
      </c>
      <c r="F106" s="174"/>
      <c r="G106" s="159"/>
      <c r="H106" s="159"/>
      <c r="I106" s="159"/>
      <c r="J106" s="160"/>
      <c r="K106" s="175"/>
      <c r="L106" s="175"/>
      <c r="M106" s="175"/>
      <c r="N106" s="175"/>
      <c r="O106" s="175"/>
      <c r="P106" s="175">
        <f>SUM(L106:L138)</f>
        <v>121.1165</v>
      </c>
    </row>
    <row r="107" spans="1:16" s="170" customFormat="1" x14ac:dyDescent="0.3">
      <c r="C107" s="176"/>
      <c r="D107" s="177" t="s">
        <v>160</v>
      </c>
      <c r="E107" s="178"/>
      <c r="F107" s="179"/>
      <c r="G107" s="159"/>
      <c r="H107" s="159"/>
      <c r="I107" s="159"/>
      <c r="J107" s="160"/>
      <c r="K107" s="180"/>
      <c r="L107" s="180"/>
      <c r="M107" s="180"/>
      <c r="N107" s="180"/>
      <c r="O107" s="180"/>
      <c r="P107" s="180"/>
    </row>
    <row r="108" spans="1:16" s="170" customFormat="1" x14ac:dyDescent="0.3">
      <c r="C108" s="181"/>
      <c r="D108" s="182" t="s">
        <v>33</v>
      </c>
      <c r="E108" s="178"/>
      <c r="F108" s="179"/>
      <c r="G108" s="159"/>
      <c r="H108" s="159"/>
      <c r="I108" s="159"/>
      <c r="J108" s="160"/>
      <c r="K108" s="180"/>
      <c r="L108" s="180"/>
      <c r="M108" s="180"/>
      <c r="N108" s="180"/>
      <c r="O108" s="180"/>
      <c r="P108" s="180"/>
    </row>
    <row r="109" spans="1:16" s="170" customFormat="1" x14ac:dyDescent="0.3">
      <c r="C109" s="183"/>
      <c r="D109" s="141" t="s">
        <v>161</v>
      </c>
      <c r="E109" s="135" t="s">
        <v>0</v>
      </c>
      <c r="F109" s="142">
        <v>1</v>
      </c>
      <c r="G109" s="143">
        <v>2.65</v>
      </c>
      <c r="H109" s="143"/>
      <c r="I109" s="143">
        <v>2.1</v>
      </c>
      <c r="J109" s="5">
        <v>1</v>
      </c>
      <c r="K109" s="7"/>
      <c r="L109" s="7">
        <f t="shared" ref="L109:L114" si="9">PRODUCT(F109:J109)</f>
        <v>5.5650000000000004</v>
      </c>
      <c r="M109" s="188"/>
      <c r="N109" s="188"/>
      <c r="O109" s="188"/>
      <c r="P109" s="188"/>
    </row>
    <row r="110" spans="1:16" s="170" customFormat="1" x14ac:dyDescent="0.3">
      <c r="C110" s="183"/>
      <c r="D110" s="141" t="s">
        <v>162</v>
      </c>
      <c r="E110" s="135" t="s">
        <v>0</v>
      </c>
      <c r="F110" s="142">
        <v>1</v>
      </c>
      <c r="G110" s="143">
        <v>3.65</v>
      </c>
      <c r="H110" s="143"/>
      <c r="I110" s="143">
        <v>2.1</v>
      </c>
      <c r="J110" s="5">
        <v>1</v>
      </c>
      <c r="K110" s="7"/>
      <c r="L110" s="7">
        <f t="shared" si="9"/>
        <v>7.665</v>
      </c>
      <c r="M110" s="188"/>
      <c r="N110" s="188"/>
      <c r="O110" s="188"/>
      <c r="P110" s="188"/>
    </row>
    <row r="111" spans="1:16" s="170" customFormat="1" x14ac:dyDescent="0.3">
      <c r="C111" s="183"/>
      <c r="D111" s="141" t="s">
        <v>163</v>
      </c>
      <c r="E111" s="135" t="s">
        <v>0</v>
      </c>
      <c r="F111" s="142">
        <v>1</v>
      </c>
      <c r="G111" s="143">
        <v>2.65</v>
      </c>
      <c r="H111" s="143"/>
      <c r="I111" s="143">
        <v>2.1</v>
      </c>
      <c r="J111" s="5">
        <v>1</v>
      </c>
      <c r="K111" s="7"/>
      <c r="L111" s="7">
        <f t="shared" si="9"/>
        <v>5.5650000000000004</v>
      </c>
      <c r="M111" s="188"/>
      <c r="N111" s="188"/>
      <c r="O111" s="188"/>
      <c r="P111" s="188"/>
    </row>
    <row r="112" spans="1:16" s="170" customFormat="1" x14ac:dyDescent="0.3">
      <c r="C112" s="183"/>
      <c r="D112" s="141" t="s">
        <v>164</v>
      </c>
      <c r="E112" s="135" t="s">
        <v>0</v>
      </c>
      <c r="F112" s="142">
        <v>1</v>
      </c>
      <c r="G112" s="143">
        <v>2.65</v>
      </c>
      <c r="H112" s="143"/>
      <c r="I112" s="143">
        <v>2.1</v>
      </c>
      <c r="J112" s="5">
        <v>1</v>
      </c>
      <c r="K112" s="7"/>
      <c r="L112" s="7">
        <f t="shared" si="9"/>
        <v>5.5650000000000004</v>
      </c>
      <c r="M112" s="188"/>
      <c r="N112" s="188"/>
      <c r="O112" s="188"/>
      <c r="P112" s="188"/>
    </row>
    <row r="113" spans="3:16" s="170" customFormat="1" x14ac:dyDescent="0.3">
      <c r="C113" s="183"/>
      <c r="D113" s="141" t="s">
        <v>165</v>
      </c>
      <c r="E113" s="135" t="s">
        <v>0</v>
      </c>
      <c r="F113" s="142">
        <v>1</v>
      </c>
      <c r="G113" s="143">
        <v>3.65</v>
      </c>
      <c r="H113" s="143"/>
      <c r="I113" s="143">
        <v>2.1</v>
      </c>
      <c r="J113" s="5">
        <v>1</v>
      </c>
      <c r="K113" s="7"/>
      <c r="L113" s="7">
        <f t="shared" si="9"/>
        <v>7.665</v>
      </c>
      <c r="M113" s="188"/>
      <c r="N113" s="188"/>
      <c r="O113" s="188"/>
      <c r="P113" s="188"/>
    </row>
    <row r="114" spans="3:16" s="170" customFormat="1" x14ac:dyDescent="0.3">
      <c r="C114" s="183"/>
      <c r="D114" s="141" t="s">
        <v>166</v>
      </c>
      <c r="E114" s="135" t="s">
        <v>0</v>
      </c>
      <c r="F114" s="142">
        <v>1</v>
      </c>
      <c r="G114" s="143">
        <v>2.65</v>
      </c>
      <c r="H114" s="143"/>
      <c r="I114" s="143">
        <v>2.1</v>
      </c>
      <c r="J114" s="5">
        <v>1</v>
      </c>
      <c r="K114" s="7"/>
      <c r="L114" s="7">
        <f t="shared" si="9"/>
        <v>5.5650000000000004</v>
      </c>
      <c r="M114" s="188"/>
      <c r="N114" s="188"/>
      <c r="O114" s="188"/>
      <c r="P114" s="188"/>
    </row>
    <row r="115" spans="3:16" s="170" customFormat="1" x14ac:dyDescent="0.3">
      <c r="C115" s="181"/>
      <c r="D115" s="182" t="s">
        <v>68</v>
      </c>
      <c r="E115" s="189"/>
      <c r="F115" s="190"/>
      <c r="G115" s="191"/>
      <c r="H115" s="191"/>
      <c r="I115" s="191"/>
      <c r="J115" s="160"/>
      <c r="K115" s="180"/>
      <c r="L115" s="180"/>
      <c r="M115" s="180"/>
      <c r="N115" s="180"/>
      <c r="O115" s="180"/>
      <c r="P115" s="180"/>
    </row>
    <row r="116" spans="3:16" s="170" customFormat="1" x14ac:dyDescent="0.3">
      <c r="C116" s="183"/>
      <c r="D116" s="141" t="s">
        <v>161</v>
      </c>
      <c r="E116" s="135" t="s">
        <v>0</v>
      </c>
      <c r="F116" s="142">
        <v>1</v>
      </c>
      <c r="G116" s="143">
        <v>2.65</v>
      </c>
      <c r="H116" s="143"/>
      <c r="I116" s="143">
        <v>2.1</v>
      </c>
      <c r="J116" s="5">
        <v>1</v>
      </c>
      <c r="K116" s="7"/>
      <c r="L116" s="7">
        <f t="shared" ref="L116:L121" si="10">PRODUCT(F116:J116)</f>
        <v>5.5650000000000004</v>
      </c>
      <c r="M116" s="188"/>
      <c r="N116" s="188"/>
      <c r="O116" s="188"/>
      <c r="P116" s="188"/>
    </row>
    <row r="117" spans="3:16" s="170" customFormat="1" x14ac:dyDescent="0.3">
      <c r="C117" s="183"/>
      <c r="D117" s="141" t="s">
        <v>162</v>
      </c>
      <c r="E117" s="135" t="s">
        <v>0</v>
      </c>
      <c r="F117" s="142">
        <v>1</v>
      </c>
      <c r="G117" s="143">
        <v>2.65</v>
      </c>
      <c r="H117" s="143"/>
      <c r="I117" s="143">
        <v>2.1</v>
      </c>
      <c r="J117" s="5">
        <v>1</v>
      </c>
      <c r="K117" s="7"/>
      <c r="L117" s="7">
        <f t="shared" si="10"/>
        <v>5.5650000000000004</v>
      </c>
      <c r="M117" s="188"/>
      <c r="N117" s="188"/>
      <c r="O117" s="188"/>
      <c r="P117" s="188"/>
    </row>
    <row r="118" spans="3:16" s="170" customFormat="1" x14ac:dyDescent="0.3">
      <c r="C118" s="183"/>
      <c r="D118" s="141" t="s">
        <v>163</v>
      </c>
      <c r="E118" s="135" t="s">
        <v>0</v>
      </c>
      <c r="F118" s="142">
        <v>1</v>
      </c>
      <c r="G118" s="143">
        <v>2.15</v>
      </c>
      <c r="H118" s="143"/>
      <c r="I118" s="143">
        <v>2.1</v>
      </c>
      <c r="J118" s="5">
        <v>1</v>
      </c>
      <c r="K118" s="7"/>
      <c r="L118" s="7">
        <f t="shared" si="10"/>
        <v>4.5149999999999997</v>
      </c>
      <c r="M118" s="188"/>
      <c r="N118" s="188"/>
      <c r="O118" s="188"/>
      <c r="P118" s="188"/>
    </row>
    <row r="119" spans="3:16" s="170" customFormat="1" x14ac:dyDescent="0.3">
      <c r="C119" s="183"/>
      <c r="D119" s="141" t="s">
        <v>164</v>
      </c>
      <c r="E119" s="135" t="s">
        <v>0</v>
      </c>
      <c r="F119" s="142">
        <v>1</v>
      </c>
      <c r="G119" s="143">
        <v>2.65</v>
      </c>
      <c r="H119" s="143"/>
      <c r="I119" s="143">
        <v>2.1</v>
      </c>
      <c r="J119" s="5">
        <v>1</v>
      </c>
      <c r="K119" s="7"/>
      <c r="L119" s="7">
        <f t="shared" si="10"/>
        <v>5.5650000000000004</v>
      </c>
      <c r="M119" s="188"/>
      <c r="N119" s="188"/>
      <c r="O119" s="188"/>
      <c r="P119" s="188"/>
    </row>
    <row r="120" spans="3:16" s="170" customFormat="1" x14ac:dyDescent="0.3">
      <c r="C120" s="183"/>
      <c r="D120" s="141" t="s">
        <v>165</v>
      </c>
      <c r="E120" s="135" t="s">
        <v>0</v>
      </c>
      <c r="F120" s="142">
        <v>1</v>
      </c>
      <c r="G120" s="143">
        <v>2.65</v>
      </c>
      <c r="H120" s="143"/>
      <c r="I120" s="143">
        <v>2.1</v>
      </c>
      <c r="J120" s="5">
        <v>1</v>
      </c>
      <c r="K120" s="7"/>
      <c r="L120" s="7">
        <f t="shared" si="10"/>
        <v>5.5650000000000004</v>
      </c>
      <c r="M120" s="188"/>
      <c r="N120" s="188"/>
      <c r="O120" s="188"/>
      <c r="P120" s="188"/>
    </row>
    <row r="121" spans="3:16" s="170" customFormat="1" x14ac:dyDescent="0.3">
      <c r="C121" s="183"/>
      <c r="D121" s="141" t="s">
        <v>166</v>
      </c>
      <c r="E121" s="135" t="s">
        <v>0</v>
      </c>
      <c r="F121" s="142">
        <v>1</v>
      </c>
      <c r="G121" s="143">
        <v>2.65</v>
      </c>
      <c r="H121" s="143"/>
      <c r="I121" s="143">
        <v>2.1</v>
      </c>
      <c r="J121" s="5">
        <v>1</v>
      </c>
      <c r="K121" s="7"/>
      <c r="L121" s="7">
        <f t="shared" si="10"/>
        <v>5.5650000000000004</v>
      </c>
      <c r="M121" s="188"/>
      <c r="N121" s="188"/>
      <c r="O121" s="188"/>
      <c r="P121" s="188"/>
    </row>
    <row r="122" spans="3:16" s="170" customFormat="1" x14ac:dyDescent="0.3">
      <c r="C122" s="181"/>
      <c r="D122" s="192" t="s">
        <v>52</v>
      </c>
      <c r="E122" s="193"/>
      <c r="F122" s="160"/>
      <c r="G122" s="191"/>
      <c r="H122" s="191"/>
      <c r="I122" s="191"/>
      <c r="J122" s="160"/>
      <c r="K122" s="180"/>
      <c r="L122" s="180"/>
      <c r="M122" s="180"/>
      <c r="N122" s="180"/>
      <c r="O122" s="180"/>
      <c r="P122" s="180"/>
    </row>
    <row r="123" spans="3:16" s="170" customFormat="1" x14ac:dyDescent="0.3">
      <c r="C123" s="183"/>
      <c r="D123" s="141" t="s">
        <v>172</v>
      </c>
      <c r="E123" s="135" t="s">
        <v>0</v>
      </c>
      <c r="F123" s="142">
        <v>6</v>
      </c>
      <c r="G123" s="143" t="s">
        <v>156</v>
      </c>
      <c r="H123" s="143"/>
      <c r="I123" s="143">
        <v>0.57999999999999996</v>
      </c>
      <c r="J123" s="5">
        <v>1</v>
      </c>
      <c r="K123" s="7"/>
      <c r="L123" s="7">
        <f t="shared" ref="L123:L125" si="11">PRODUCT(F123:J123)</f>
        <v>3.4799999999999995</v>
      </c>
      <c r="M123" s="188"/>
      <c r="N123" s="188"/>
      <c r="O123" s="188"/>
      <c r="P123" s="188"/>
    </row>
    <row r="124" spans="3:16" s="170" customFormat="1" x14ac:dyDescent="0.3">
      <c r="C124" s="183"/>
      <c r="D124" s="141" t="s">
        <v>173</v>
      </c>
      <c r="E124" s="135" t="s">
        <v>0</v>
      </c>
      <c r="F124" s="142">
        <v>12</v>
      </c>
      <c r="G124" s="143" t="s">
        <v>156</v>
      </c>
      <c r="H124" s="143"/>
      <c r="I124" s="143">
        <v>0.57999999999999996</v>
      </c>
      <c r="J124" s="5">
        <v>1</v>
      </c>
      <c r="K124" s="7"/>
      <c r="L124" s="7">
        <f t="shared" si="11"/>
        <v>6.9599999999999991</v>
      </c>
      <c r="M124" s="188"/>
      <c r="N124" s="188"/>
      <c r="O124" s="188"/>
      <c r="P124" s="188"/>
    </row>
    <row r="125" spans="3:16" s="170" customFormat="1" x14ac:dyDescent="0.3">
      <c r="C125" s="183"/>
      <c r="D125" s="141" t="s">
        <v>197</v>
      </c>
      <c r="E125" s="135" t="s">
        <v>0</v>
      </c>
      <c r="F125" s="142">
        <v>6</v>
      </c>
      <c r="G125" s="143" t="s">
        <v>156</v>
      </c>
      <c r="H125" s="143"/>
      <c r="I125" s="143">
        <v>0.57999999999999996</v>
      </c>
      <c r="J125" s="5">
        <v>1</v>
      </c>
      <c r="K125" s="7"/>
      <c r="L125" s="7">
        <f t="shared" si="11"/>
        <v>3.4799999999999995</v>
      </c>
      <c r="M125" s="188"/>
      <c r="N125" s="188"/>
      <c r="O125" s="188"/>
      <c r="P125" s="188"/>
    </row>
    <row r="126" spans="3:16" s="170" customFormat="1" x14ac:dyDescent="0.3">
      <c r="C126" s="181"/>
      <c r="D126" s="182"/>
      <c r="E126" s="189"/>
      <c r="F126" s="179"/>
      <c r="G126" s="159"/>
      <c r="H126" s="159"/>
      <c r="I126" s="159"/>
      <c r="J126" s="160"/>
      <c r="K126" s="180"/>
      <c r="L126" s="180"/>
      <c r="M126" s="180"/>
      <c r="N126" s="180"/>
      <c r="O126" s="180"/>
      <c r="P126" s="180"/>
    </row>
    <row r="127" spans="3:16" s="170" customFormat="1" x14ac:dyDescent="0.3">
      <c r="C127" s="176"/>
      <c r="D127" s="177" t="s">
        <v>174</v>
      </c>
      <c r="E127" s="178"/>
      <c r="F127" s="179"/>
      <c r="G127" s="159"/>
      <c r="H127" s="159"/>
      <c r="I127" s="159"/>
      <c r="J127" s="160"/>
      <c r="K127" s="180"/>
      <c r="L127" s="180"/>
      <c r="M127" s="180"/>
      <c r="N127" s="180"/>
      <c r="O127" s="180"/>
      <c r="P127" s="180"/>
    </row>
    <row r="128" spans="3:16" s="170" customFormat="1" x14ac:dyDescent="0.3">
      <c r="C128" s="181"/>
      <c r="D128" s="182" t="s">
        <v>45</v>
      </c>
      <c r="E128" s="178"/>
      <c r="F128" s="179"/>
      <c r="G128" s="159"/>
      <c r="H128" s="159"/>
      <c r="I128" s="159"/>
      <c r="J128" s="160"/>
      <c r="K128" s="180"/>
      <c r="L128" s="180"/>
      <c r="M128" s="180"/>
      <c r="N128" s="180"/>
      <c r="O128" s="180"/>
      <c r="P128" s="180"/>
    </row>
    <row r="129" spans="1:16" s="170" customFormat="1" x14ac:dyDescent="0.3">
      <c r="C129" s="183"/>
      <c r="D129" s="145" t="s">
        <v>161</v>
      </c>
      <c r="E129" s="128" t="s">
        <v>0</v>
      </c>
      <c r="F129" s="146">
        <v>1</v>
      </c>
      <c r="G129" s="147">
        <v>3.65</v>
      </c>
      <c r="H129" s="147"/>
      <c r="I129" s="147">
        <v>2.1</v>
      </c>
      <c r="J129" s="129">
        <v>1</v>
      </c>
      <c r="K129" s="130"/>
      <c r="L129" s="130">
        <f t="shared" ref="L129:L137" si="12">PRODUCT(F129:J129)</f>
        <v>7.665</v>
      </c>
      <c r="M129" s="188"/>
      <c r="N129" s="188"/>
      <c r="O129" s="188"/>
      <c r="P129" s="188"/>
    </row>
    <row r="130" spans="1:16" s="170" customFormat="1" x14ac:dyDescent="0.3">
      <c r="C130" s="183"/>
      <c r="D130" s="141" t="s">
        <v>163</v>
      </c>
      <c r="E130" s="135" t="s">
        <v>0</v>
      </c>
      <c r="F130" s="142">
        <v>1</v>
      </c>
      <c r="G130" s="143">
        <v>1.37</v>
      </c>
      <c r="H130" s="143"/>
      <c r="I130" s="147">
        <v>2.1</v>
      </c>
      <c r="J130" s="5">
        <v>1</v>
      </c>
      <c r="K130" s="7"/>
      <c r="L130" s="7">
        <f t="shared" si="12"/>
        <v>2.8770000000000002</v>
      </c>
      <c r="M130" s="188"/>
      <c r="N130" s="188"/>
      <c r="O130" s="188"/>
      <c r="P130" s="188"/>
    </row>
    <row r="131" spans="1:16" s="170" customFormat="1" x14ac:dyDescent="0.3">
      <c r="C131" s="183"/>
      <c r="D131" s="141"/>
      <c r="E131" s="135" t="s">
        <v>0</v>
      </c>
      <c r="F131" s="142">
        <v>1</v>
      </c>
      <c r="G131" s="143">
        <v>1.2</v>
      </c>
      <c r="H131" s="143"/>
      <c r="I131" s="147">
        <v>2.1</v>
      </c>
      <c r="J131" s="5">
        <v>1</v>
      </c>
      <c r="K131" s="7"/>
      <c r="L131" s="7">
        <f t="shared" si="12"/>
        <v>2.52</v>
      </c>
      <c r="M131" s="188"/>
      <c r="N131" s="188"/>
      <c r="O131" s="188"/>
      <c r="P131" s="188"/>
    </row>
    <row r="132" spans="1:16" s="170" customFormat="1" x14ac:dyDescent="0.3">
      <c r="C132" s="183"/>
      <c r="D132" s="141"/>
      <c r="E132" s="135" t="s">
        <v>0</v>
      </c>
      <c r="F132" s="142">
        <v>1</v>
      </c>
      <c r="G132" s="143">
        <v>0.77</v>
      </c>
      <c r="H132" s="143"/>
      <c r="I132" s="147">
        <v>2.1</v>
      </c>
      <c r="J132" s="5">
        <v>1</v>
      </c>
      <c r="K132" s="7"/>
      <c r="L132" s="7">
        <f t="shared" si="12"/>
        <v>1.6170000000000002</v>
      </c>
      <c r="M132" s="188"/>
      <c r="N132" s="188"/>
      <c r="O132" s="188"/>
      <c r="P132" s="188"/>
    </row>
    <row r="133" spans="1:16" s="170" customFormat="1" x14ac:dyDescent="0.3">
      <c r="C133" s="183"/>
      <c r="D133" s="141"/>
      <c r="E133" s="135" t="s">
        <v>0</v>
      </c>
      <c r="F133" s="142">
        <v>2</v>
      </c>
      <c r="G133" s="143">
        <v>0.15</v>
      </c>
      <c r="H133" s="143"/>
      <c r="I133" s="147">
        <v>2.95</v>
      </c>
      <c r="J133" s="5">
        <v>1</v>
      </c>
      <c r="K133" s="7"/>
      <c r="L133" s="7">
        <f t="shared" si="12"/>
        <v>0.88500000000000001</v>
      </c>
      <c r="M133" s="188"/>
      <c r="N133" s="188"/>
      <c r="O133" s="188"/>
      <c r="P133" s="188"/>
    </row>
    <row r="134" spans="1:16" s="170" customFormat="1" x14ac:dyDescent="0.3">
      <c r="C134" s="183"/>
      <c r="D134" s="141" t="s">
        <v>177</v>
      </c>
      <c r="E134" s="135" t="s">
        <v>0</v>
      </c>
      <c r="F134" s="142">
        <v>1</v>
      </c>
      <c r="G134" s="143">
        <v>1.7</v>
      </c>
      <c r="H134" s="143"/>
      <c r="I134" s="147">
        <v>2.1</v>
      </c>
      <c r="J134" s="5">
        <v>1</v>
      </c>
      <c r="K134" s="7"/>
      <c r="L134" s="7">
        <f t="shared" si="12"/>
        <v>3.57</v>
      </c>
      <c r="M134" s="188"/>
      <c r="N134" s="188"/>
      <c r="O134" s="188"/>
      <c r="P134" s="188"/>
    </row>
    <row r="135" spans="1:16" s="170" customFormat="1" x14ac:dyDescent="0.3">
      <c r="C135" s="183"/>
      <c r="D135" s="141" t="s">
        <v>178</v>
      </c>
      <c r="E135" s="135" t="s">
        <v>0</v>
      </c>
      <c r="F135" s="142">
        <v>1</v>
      </c>
      <c r="G135" s="143">
        <v>0.95</v>
      </c>
      <c r="H135" s="143"/>
      <c r="I135" s="147">
        <v>2.95</v>
      </c>
      <c r="J135" s="5">
        <v>1</v>
      </c>
      <c r="K135" s="7"/>
      <c r="L135" s="7">
        <f t="shared" si="12"/>
        <v>2.8025000000000002</v>
      </c>
      <c r="M135" s="188"/>
      <c r="N135" s="188"/>
      <c r="O135" s="188"/>
      <c r="P135" s="188"/>
    </row>
    <row r="136" spans="1:16" s="170" customFormat="1" x14ac:dyDescent="0.3">
      <c r="C136" s="183"/>
      <c r="D136" s="145" t="s">
        <v>165</v>
      </c>
      <c r="E136" s="128" t="s">
        <v>0</v>
      </c>
      <c r="F136" s="146">
        <v>1</v>
      </c>
      <c r="G136" s="147">
        <v>3.65</v>
      </c>
      <c r="H136" s="147"/>
      <c r="I136" s="147">
        <v>2.1</v>
      </c>
      <c r="J136" s="129">
        <v>1</v>
      </c>
      <c r="K136" s="130"/>
      <c r="L136" s="130">
        <f t="shared" si="12"/>
        <v>7.665</v>
      </c>
      <c r="M136" s="188"/>
      <c r="N136" s="188"/>
      <c r="O136" s="188"/>
      <c r="P136" s="188"/>
    </row>
    <row r="137" spans="1:16" s="170" customFormat="1" x14ac:dyDescent="0.3">
      <c r="C137" s="183"/>
      <c r="D137" s="145" t="s">
        <v>166</v>
      </c>
      <c r="E137" s="128" t="s">
        <v>0</v>
      </c>
      <c r="F137" s="146">
        <v>1</v>
      </c>
      <c r="G137" s="147">
        <v>3.65</v>
      </c>
      <c r="H137" s="147"/>
      <c r="I137" s="147">
        <v>2.1</v>
      </c>
      <c r="J137" s="129">
        <v>1</v>
      </c>
      <c r="K137" s="130"/>
      <c r="L137" s="130">
        <f t="shared" si="12"/>
        <v>7.665</v>
      </c>
      <c r="M137" s="188"/>
      <c r="N137" s="188"/>
      <c r="O137" s="188"/>
      <c r="P137" s="188"/>
    </row>
    <row r="138" spans="1:16" s="170" customFormat="1" x14ac:dyDescent="0.3">
      <c r="C138" s="181"/>
      <c r="D138" s="182"/>
      <c r="E138" s="189"/>
      <c r="F138" s="179"/>
      <c r="G138" s="159"/>
      <c r="H138" s="159"/>
      <c r="I138" s="159"/>
      <c r="J138" s="160"/>
      <c r="K138" s="180"/>
      <c r="L138" s="180"/>
      <c r="M138" s="180"/>
      <c r="N138" s="180"/>
      <c r="O138" s="180"/>
      <c r="P138" s="180"/>
    </row>
    <row r="139" spans="1:16" s="170" customFormat="1" x14ac:dyDescent="0.3">
      <c r="A139" s="170">
        <v>3</v>
      </c>
      <c r="C139" s="99" t="s">
        <v>1182</v>
      </c>
      <c r="D139" s="100" t="s">
        <v>520</v>
      </c>
      <c r="E139" s="173" t="s">
        <v>0</v>
      </c>
      <c r="F139" s="174"/>
      <c r="G139" s="159"/>
      <c r="H139" s="159"/>
      <c r="I139" s="159"/>
      <c r="J139" s="160"/>
      <c r="K139" s="175"/>
      <c r="L139" s="175"/>
      <c r="M139" s="175"/>
      <c r="N139" s="175"/>
      <c r="O139" s="175"/>
      <c r="P139" s="175">
        <f>SUM(L139:L213)</f>
        <v>435.86600000000016</v>
      </c>
    </row>
    <row r="140" spans="1:16" s="170" customFormat="1" x14ac:dyDescent="0.3">
      <c r="C140" s="181"/>
      <c r="D140" s="201" t="s">
        <v>127</v>
      </c>
      <c r="E140" s="189"/>
      <c r="F140" s="190"/>
      <c r="G140" s="191" t="s">
        <v>198</v>
      </c>
      <c r="H140" s="191"/>
      <c r="I140" s="191"/>
      <c r="J140" s="160"/>
      <c r="K140" s="180"/>
      <c r="L140" s="180"/>
      <c r="M140" s="180"/>
      <c r="N140" s="180"/>
      <c r="O140" s="180"/>
      <c r="P140" s="180"/>
    </row>
    <row r="141" spans="1:16" s="170" customFormat="1" x14ac:dyDescent="0.3">
      <c r="C141" s="183"/>
      <c r="D141" s="4" t="s">
        <v>199</v>
      </c>
      <c r="E141" s="135" t="s">
        <v>0</v>
      </c>
      <c r="F141" s="125">
        <v>1</v>
      </c>
      <c r="G141" s="6">
        <v>2</v>
      </c>
      <c r="H141" s="6"/>
      <c r="I141" s="6">
        <v>3</v>
      </c>
      <c r="J141" s="5">
        <v>1</v>
      </c>
      <c r="K141" s="7"/>
      <c r="L141" s="7">
        <f>IF(F141="","",PRODUCT(F141:J141))</f>
        <v>6</v>
      </c>
      <c r="M141" s="188"/>
      <c r="N141" s="188"/>
      <c r="O141" s="188"/>
      <c r="P141" s="188"/>
    </row>
    <row r="142" spans="1:16" s="170" customFormat="1" x14ac:dyDescent="0.3">
      <c r="C142" s="183"/>
      <c r="D142" s="4" t="s">
        <v>200</v>
      </c>
      <c r="E142" s="135" t="s">
        <v>0</v>
      </c>
      <c r="F142" s="125">
        <v>1</v>
      </c>
      <c r="G142" s="6">
        <v>1.59</v>
      </c>
      <c r="H142" s="6"/>
      <c r="I142" s="6">
        <v>3</v>
      </c>
      <c r="J142" s="5">
        <v>1</v>
      </c>
      <c r="K142" s="7"/>
      <c r="L142" s="7">
        <f t="shared" ref="L142:L147" si="13">IF(F142="","",PRODUCT(F142:J142))</f>
        <v>4.7700000000000005</v>
      </c>
      <c r="M142" s="188"/>
      <c r="N142" s="188"/>
      <c r="O142" s="188"/>
      <c r="P142" s="188"/>
    </row>
    <row r="143" spans="1:16" s="170" customFormat="1" x14ac:dyDescent="0.3">
      <c r="C143" s="183"/>
      <c r="D143" s="4" t="s">
        <v>201</v>
      </c>
      <c r="E143" s="135" t="s">
        <v>0</v>
      </c>
      <c r="F143" s="125">
        <v>1</v>
      </c>
      <c r="G143" s="6">
        <v>1.59</v>
      </c>
      <c r="H143" s="6"/>
      <c r="I143" s="6">
        <v>3</v>
      </c>
      <c r="J143" s="5">
        <v>1</v>
      </c>
      <c r="K143" s="7"/>
      <c r="L143" s="7">
        <f t="shared" si="13"/>
        <v>4.7700000000000005</v>
      </c>
      <c r="M143" s="188"/>
      <c r="N143" s="188"/>
      <c r="O143" s="188"/>
      <c r="P143" s="188"/>
    </row>
    <row r="144" spans="1:16" s="170" customFormat="1" x14ac:dyDescent="0.3">
      <c r="C144" s="183"/>
      <c r="D144" s="4" t="s">
        <v>202</v>
      </c>
      <c r="E144" s="135" t="s">
        <v>0</v>
      </c>
      <c r="F144" s="125">
        <v>1</v>
      </c>
      <c r="G144" s="6">
        <f>2.06+2.27</f>
        <v>4.33</v>
      </c>
      <c r="H144" s="6"/>
      <c r="I144" s="6">
        <v>3</v>
      </c>
      <c r="J144" s="5">
        <v>1</v>
      </c>
      <c r="K144" s="7"/>
      <c r="L144" s="7">
        <f t="shared" si="13"/>
        <v>12.99</v>
      </c>
      <c r="M144" s="188"/>
      <c r="N144" s="188"/>
      <c r="O144" s="188"/>
      <c r="P144" s="188"/>
    </row>
    <row r="145" spans="3:16" s="170" customFormat="1" x14ac:dyDescent="0.3">
      <c r="C145" s="183"/>
      <c r="D145" s="4" t="s">
        <v>203</v>
      </c>
      <c r="E145" s="135" t="s">
        <v>0</v>
      </c>
      <c r="F145" s="125">
        <v>1</v>
      </c>
      <c r="G145" s="6">
        <v>1.59</v>
      </c>
      <c r="H145" s="6"/>
      <c r="I145" s="6">
        <v>3</v>
      </c>
      <c r="J145" s="5">
        <v>1</v>
      </c>
      <c r="K145" s="7"/>
      <c r="L145" s="7">
        <f t="shared" si="13"/>
        <v>4.7700000000000005</v>
      </c>
      <c r="M145" s="188"/>
      <c r="N145" s="188"/>
      <c r="O145" s="188"/>
      <c r="P145" s="188"/>
    </row>
    <row r="146" spans="3:16" s="170" customFormat="1" x14ac:dyDescent="0.3">
      <c r="C146" s="183"/>
      <c r="D146" s="4" t="s">
        <v>204</v>
      </c>
      <c r="E146" s="135" t="s">
        <v>0</v>
      </c>
      <c r="F146" s="125">
        <v>1</v>
      </c>
      <c r="G146" s="6">
        <v>1.59</v>
      </c>
      <c r="H146" s="6"/>
      <c r="I146" s="6">
        <v>3</v>
      </c>
      <c r="J146" s="5">
        <v>1</v>
      </c>
      <c r="K146" s="7"/>
      <c r="L146" s="7">
        <f t="shared" si="13"/>
        <v>4.7700000000000005</v>
      </c>
      <c r="M146" s="188"/>
      <c r="N146" s="188"/>
      <c r="O146" s="188"/>
      <c r="P146" s="188"/>
    </row>
    <row r="147" spans="3:16" s="170" customFormat="1" x14ac:dyDescent="0.3">
      <c r="C147" s="183"/>
      <c r="D147" s="4" t="s">
        <v>205</v>
      </c>
      <c r="E147" s="135" t="s">
        <v>0</v>
      </c>
      <c r="F147" s="125">
        <v>1</v>
      </c>
      <c r="G147" s="6">
        <v>1.79</v>
      </c>
      <c r="H147" s="6"/>
      <c r="I147" s="6">
        <v>3</v>
      </c>
      <c r="J147" s="5">
        <v>1</v>
      </c>
      <c r="K147" s="7"/>
      <c r="L147" s="7">
        <f t="shared" si="13"/>
        <v>5.37</v>
      </c>
      <c r="M147" s="188"/>
      <c r="N147" s="188"/>
      <c r="O147" s="188"/>
      <c r="P147" s="188"/>
    </row>
    <row r="148" spans="3:16" s="170" customFormat="1" x14ac:dyDescent="0.3">
      <c r="C148" s="183"/>
      <c r="D148" s="4" t="s">
        <v>206</v>
      </c>
      <c r="E148" s="135" t="s">
        <v>0</v>
      </c>
      <c r="F148" s="125">
        <v>1</v>
      </c>
      <c r="G148" s="6">
        <v>2.4500000000000002</v>
      </c>
      <c r="H148" s="6"/>
      <c r="I148" s="6">
        <v>3</v>
      </c>
      <c r="J148" s="5">
        <v>1</v>
      </c>
      <c r="K148" s="7"/>
      <c r="L148" s="7">
        <f>IF(F148="","",PRODUCT(F148:J148))</f>
        <v>7.3500000000000005</v>
      </c>
      <c r="M148" s="188"/>
      <c r="N148" s="188"/>
      <c r="O148" s="188"/>
      <c r="P148" s="188"/>
    </row>
    <row r="149" spans="3:16" s="170" customFormat="1" x14ac:dyDescent="0.3">
      <c r="C149" s="183"/>
      <c r="D149" s="4" t="s">
        <v>207</v>
      </c>
      <c r="E149" s="135" t="s">
        <v>0</v>
      </c>
      <c r="F149" s="125">
        <v>1</v>
      </c>
      <c r="G149" s="6">
        <v>0.7</v>
      </c>
      <c r="H149" s="6"/>
      <c r="I149" s="6">
        <v>3</v>
      </c>
      <c r="J149" s="5">
        <v>1</v>
      </c>
      <c r="K149" s="7"/>
      <c r="L149" s="7">
        <f t="shared" ref="L149:L163" si="14">IF(F149="","",PRODUCT(F149:J149))</f>
        <v>2.0999999999999996</v>
      </c>
      <c r="M149" s="188"/>
      <c r="N149" s="188"/>
      <c r="O149" s="188"/>
      <c r="P149" s="188"/>
    </row>
    <row r="150" spans="3:16" s="170" customFormat="1" x14ac:dyDescent="0.3">
      <c r="C150" s="183"/>
      <c r="D150" s="4" t="s">
        <v>208</v>
      </c>
      <c r="E150" s="135" t="s">
        <v>0</v>
      </c>
      <c r="F150" s="125">
        <v>1</v>
      </c>
      <c r="G150" s="6">
        <v>1.55</v>
      </c>
      <c r="H150" s="6"/>
      <c r="I150" s="6">
        <v>3</v>
      </c>
      <c r="J150" s="5">
        <v>1</v>
      </c>
      <c r="K150" s="7"/>
      <c r="L150" s="7">
        <f t="shared" si="14"/>
        <v>4.6500000000000004</v>
      </c>
      <c r="M150" s="188"/>
      <c r="N150" s="188"/>
      <c r="O150" s="188"/>
      <c r="P150" s="188"/>
    </row>
    <row r="151" spans="3:16" s="170" customFormat="1" x14ac:dyDescent="0.3">
      <c r="C151" s="183"/>
      <c r="D151" s="4" t="s">
        <v>209</v>
      </c>
      <c r="E151" s="135" t="s">
        <v>0</v>
      </c>
      <c r="F151" s="125">
        <v>1</v>
      </c>
      <c r="G151" s="6">
        <v>1.1000000000000001</v>
      </c>
      <c r="H151" s="6"/>
      <c r="I151" s="6">
        <v>3</v>
      </c>
      <c r="J151" s="5">
        <v>1</v>
      </c>
      <c r="K151" s="7"/>
      <c r="L151" s="7">
        <f t="shared" si="14"/>
        <v>3.3000000000000003</v>
      </c>
      <c r="M151" s="188"/>
      <c r="N151" s="188"/>
      <c r="O151" s="188"/>
      <c r="P151" s="188"/>
    </row>
    <row r="152" spans="3:16" s="170" customFormat="1" x14ac:dyDescent="0.3">
      <c r="C152" s="183"/>
      <c r="D152" s="4" t="s">
        <v>210</v>
      </c>
      <c r="E152" s="135" t="s">
        <v>0</v>
      </c>
      <c r="F152" s="125">
        <v>1</v>
      </c>
      <c r="G152" s="6">
        <v>1.55</v>
      </c>
      <c r="H152" s="6"/>
      <c r="I152" s="6">
        <v>3</v>
      </c>
      <c r="J152" s="5">
        <v>1</v>
      </c>
      <c r="K152" s="7"/>
      <c r="L152" s="7">
        <f t="shared" si="14"/>
        <v>4.6500000000000004</v>
      </c>
      <c r="M152" s="188"/>
      <c r="N152" s="188"/>
      <c r="O152" s="188"/>
      <c r="P152" s="188"/>
    </row>
    <row r="153" spans="3:16" s="170" customFormat="1" x14ac:dyDescent="0.3">
      <c r="C153" s="183"/>
      <c r="D153" s="4" t="s">
        <v>211</v>
      </c>
      <c r="E153" s="135" t="s">
        <v>0</v>
      </c>
      <c r="F153" s="125">
        <v>1</v>
      </c>
      <c r="G153" s="6">
        <v>1.1000000000000001</v>
      </c>
      <c r="H153" s="6"/>
      <c r="I153" s="6">
        <v>3</v>
      </c>
      <c r="J153" s="5">
        <v>1</v>
      </c>
      <c r="K153" s="7"/>
      <c r="L153" s="7">
        <f t="shared" si="14"/>
        <v>3.3000000000000003</v>
      </c>
      <c r="M153" s="188"/>
      <c r="N153" s="188"/>
      <c r="O153" s="188"/>
      <c r="P153" s="188"/>
    </row>
    <row r="154" spans="3:16" s="170" customFormat="1" x14ac:dyDescent="0.3">
      <c r="C154" s="183"/>
      <c r="D154" s="4" t="s">
        <v>212</v>
      </c>
      <c r="E154" s="135" t="s">
        <v>0</v>
      </c>
      <c r="F154" s="125">
        <v>1</v>
      </c>
      <c r="G154" s="6">
        <f>2.42*2</f>
        <v>4.84</v>
      </c>
      <c r="H154" s="6"/>
      <c r="I154" s="6">
        <v>3</v>
      </c>
      <c r="J154" s="5">
        <v>1</v>
      </c>
      <c r="K154" s="7"/>
      <c r="L154" s="7">
        <f t="shared" si="14"/>
        <v>14.52</v>
      </c>
      <c r="M154" s="188"/>
      <c r="N154" s="188"/>
      <c r="O154" s="188"/>
      <c r="P154" s="188"/>
    </row>
    <row r="155" spans="3:16" s="170" customFormat="1" x14ac:dyDescent="0.3">
      <c r="C155" s="183"/>
      <c r="D155" s="4" t="s">
        <v>213</v>
      </c>
      <c r="E155" s="135" t="s">
        <v>0</v>
      </c>
      <c r="F155" s="125">
        <v>1</v>
      </c>
      <c r="G155" s="6">
        <v>1.1000000000000001</v>
      </c>
      <c r="H155" s="6"/>
      <c r="I155" s="6">
        <v>3</v>
      </c>
      <c r="J155" s="5">
        <v>1</v>
      </c>
      <c r="K155" s="7"/>
      <c r="L155" s="7">
        <f t="shared" si="14"/>
        <v>3.3000000000000003</v>
      </c>
      <c r="M155" s="188"/>
      <c r="N155" s="188"/>
      <c r="O155" s="188"/>
      <c r="P155" s="188"/>
    </row>
    <row r="156" spans="3:16" s="170" customFormat="1" x14ac:dyDescent="0.3">
      <c r="C156" s="183"/>
      <c r="D156" s="4" t="s">
        <v>214</v>
      </c>
      <c r="E156" s="135" t="s">
        <v>0</v>
      </c>
      <c r="F156" s="125">
        <v>1</v>
      </c>
      <c r="G156" s="6">
        <v>1.55</v>
      </c>
      <c r="H156" s="6"/>
      <c r="I156" s="6">
        <v>3</v>
      </c>
      <c r="J156" s="5">
        <v>1</v>
      </c>
      <c r="K156" s="7"/>
      <c r="L156" s="7">
        <f t="shared" si="14"/>
        <v>4.6500000000000004</v>
      </c>
      <c r="M156" s="188"/>
      <c r="N156" s="188"/>
      <c r="O156" s="188"/>
      <c r="P156" s="188"/>
    </row>
    <row r="157" spans="3:16" s="170" customFormat="1" x14ac:dyDescent="0.3">
      <c r="C157" s="183"/>
      <c r="D157" s="4" t="s">
        <v>215</v>
      </c>
      <c r="E157" s="135" t="s">
        <v>0</v>
      </c>
      <c r="F157" s="125">
        <v>1</v>
      </c>
      <c r="G157" s="6">
        <v>1.1000000000000001</v>
      </c>
      <c r="H157" s="6"/>
      <c r="I157" s="6">
        <v>3</v>
      </c>
      <c r="J157" s="5">
        <v>1</v>
      </c>
      <c r="K157" s="7"/>
      <c r="L157" s="7">
        <f t="shared" si="14"/>
        <v>3.3000000000000003</v>
      </c>
      <c r="M157" s="188"/>
      <c r="N157" s="188"/>
      <c r="O157" s="188"/>
      <c r="P157" s="188"/>
    </row>
    <row r="158" spans="3:16" s="170" customFormat="1" x14ac:dyDescent="0.3">
      <c r="C158" s="183"/>
      <c r="D158" s="4" t="s">
        <v>216</v>
      </c>
      <c r="E158" s="135" t="s">
        <v>0</v>
      </c>
      <c r="F158" s="125">
        <v>1</v>
      </c>
      <c r="G158" s="6">
        <v>1.55</v>
      </c>
      <c r="H158" s="6"/>
      <c r="I158" s="6">
        <v>3</v>
      </c>
      <c r="J158" s="5">
        <v>1</v>
      </c>
      <c r="K158" s="7"/>
      <c r="L158" s="7">
        <f t="shared" si="14"/>
        <v>4.6500000000000004</v>
      </c>
      <c r="M158" s="188"/>
      <c r="N158" s="188"/>
      <c r="O158" s="188"/>
      <c r="P158" s="188"/>
    </row>
    <row r="159" spans="3:16" s="170" customFormat="1" x14ac:dyDescent="0.3">
      <c r="C159" s="183"/>
      <c r="D159" s="4" t="s">
        <v>217</v>
      </c>
      <c r="E159" s="135" t="s">
        <v>0</v>
      </c>
      <c r="F159" s="125">
        <v>1</v>
      </c>
      <c r="G159" s="6">
        <v>1.1000000000000001</v>
      </c>
      <c r="H159" s="6"/>
      <c r="I159" s="6">
        <v>3</v>
      </c>
      <c r="J159" s="5">
        <v>1</v>
      </c>
      <c r="K159" s="7"/>
      <c r="L159" s="7">
        <f t="shared" si="14"/>
        <v>3.3000000000000003</v>
      </c>
      <c r="M159" s="188"/>
      <c r="N159" s="188"/>
      <c r="O159" s="188"/>
      <c r="P159" s="188"/>
    </row>
    <row r="160" spans="3:16" s="170" customFormat="1" x14ac:dyDescent="0.3">
      <c r="C160" s="183"/>
      <c r="D160" s="4" t="s">
        <v>218</v>
      </c>
      <c r="E160" s="135" t="s">
        <v>0</v>
      </c>
      <c r="F160" s="125">
        <v>1</v>
      </c>
      <c r="G160" s="6">
        <v>2.4500000000000002</v>
      </c>
      <c r="H160" s="6"/>
      <c r="I160" s="6">
        <v>3</v>
      </c>
      <c r="J160" s="5">
        <v>1</v>
      </c>
      <c r="K160" s="7"/>
      <c r="L160" s="7">
        <f t="shared" si="14"/>
        <v>7.3500000000000005</v>
      </c>
      <c r="M160" s="188"/>
      <c r="N160" s="188"/>
      <c r="O160" s="188"/>
      <c r="P160" s="188"/>
    </row>
    <row r="161" spans="3:16" s="170" customFormat="1" x14ac:dyDescent="0.3">
      <c r="C161" s="183"/>
      <c r="D161" s="4" t="s">
        <v>219</v>
      </c>
      <c r="E161" s="135" t="s">
        <v>0</v>
      </c>
      <c r="F161" s="125">
        <v>1</v>
      </c>
      <c r="G161" s="6">
        <v>0.7</v>
      </c>
      <c r="H161" s="6"/>
      <c r="I161" s="6">
        <v>3</v>
      </c>
      <c r="J161" s="5">
        <v>1</v>
      </c>
      <c r="K161" s="7"/>
      <c r="L161" s="7">
        <f t="shared" si="14"/>
        <v>2.0999999999999996</v>
      </c>
      <c r="M161" s="188"/>
      <c r="N161" s="188"/>
      <c r="O161" s="188"/>
      <c r="P161" s="188"/>
    </row>
    <row r="162" spans="3:16" s="170" customFormat="1" x14ac:dyDescent="0.3">
      <c r="C162" s="183"/>
      <c r="D162" s="4" t="s">
        <v>220</v>
      </c>
      <c r="E162" s="135" t="s">
        <v>0</v>
      </c>
      <c r="F162" s="125">
        <v>2</v>
      </c>
      <c r="G162" s="6">
        <v>0.6</v>
      </c>
      <c r="H162" s="6"/>
      <c r="I162" s="6">
        <v>3</v>
      </c>
      <c r="J162" s="5">
        <v>1</v>
      </c>
      <c r="K162" s="7"/>
      <c r="L162" s="7">
        <f t="shared" si="14"/>
        <v>3.5999999999999996</v>
      </c>
      <c r="M162" s="188"/>
      <c r="N162" s="188"/>
      <c r="O162" s="188"/>
      <c r="P162" s="188"/>
    </row>
    <row r="163" spans="3:16" s="170" customFormat="1" x14ac:dyDescent="0.3">
      <c r="C163" s="183"/>
      <c r="D163" s="4"/>
      <c r="E163" s="135" t="s">
        <v>0</v>
      </c>
      <c r="F163" s="125">
        <v>11</v>
      </c>
      <c r="G163" s="6">
        <v>0.95</v>
      </c>
      <c r="H163" s="6"/>
      <c r="I163" s="6">
        <v>3</v>
      </c>
      <c r="J163" s="5">
        <v>1</v>
      </c>
      <c r="K163" s="7"/>
      <c r="L163" s="7">
        <f t="shared" si="14"/>
        <v>31.349999999999998</v>
      </c>
      <c r="M163" s="188"/>
      <c r="N163" s="188"/>
      <c r="O163" s="188"/>
      <c r="P163" s="188"/>
    </row>
    <row r="164" spans="3:16" s="170" customFormat="1" x14ac:dyDescent="0.3">
      <c r="C164" s="181"/>
      <c r="D164" s="201" t="s">
        <v>68</v>
      </c>
      <c r="E164" s="189"/>
      <c r="F164" s="190"/>
      <c r="G164" s="191" t="s">
        <v>198</v>
      </c>
      <c r="H164" s="191"/>
      <c r="I164" s="191"/>
      <c r="J164" s="160"/>
      <c r="K164" s="180"/>
      <c r="L164" s="180"/>
      <c r="M164" s="180"/>
      <c r="N164" s="180"/>
      <c r="O164" s="180"/>
      <c r="P164" s="180"/>
    </row>
    <row r="165" spans="3:16" s="170" customFormat="1" x14ac:dyDescent="0.3">
      <c r="C165" s="183"/>
      <c r="D165" s="4" t="s">
        <v>199</v>
      </c>
      <c r="E165" s="135" t="s">
        <v>0</v>
      </c>
      <c r="F165" s="125">
        <v>1</v>
      </c>
      <c r="G165" s="6">
        <v>2</v>
      </c>
      <c r="H165" s="6"/>
      <c r="I165" s="6">
        <v>3</v>
      </c>
      <c r="J165" s="5">
        <v>1</v>
      </c>
      <c r="K165" s="7"/>
      <c r="L165" s="7">
        <f>IF(F165="","",PRODUCT(F165:J165))</f>
        <v>6</v>
      </c>
      <c r="M165" s="188"/>
      <c r="N165" s="188"/>
      <c r="O165" s="188"/>
      <c r="P165" s="188"/>
    </row>
    <row r="166" spans="3:16" s="170" customFormat="1" x14ac:dyDescent="0.3">
      <c r="C166" s="183"/>
      <c r="D166" s="4" t="s">
        <v>200</v>
      </c>
      <c r="E166" s="135" t="s">
        <v>0</v>
      </c>
      <c r="F166" s="125">
        <v>1</v>
      </c>
      <c r="G166" s="6">
        <v>1.59</v>
      </c>
      <c r="H166" s="6"/>
      <c r="I166" s="6">
        <v>3</v>
      </c>
      <c r="J166" s="5">
        <v>1</v>
      </c>
      <c r="K166" s="7"/>
      <c r="L166" s="7">
        <f t="shared" ref="L166:L171" si="15">IF(F166="","",PRODUCT(F166:J166))</f>
        <v>4.7700000000000005</v>
      </c>
      <c r="M166" s="188"/>
      <c r="N166" s="188"/>
      <c r="O166" s="188"/>
      <c r="P166" s="188"/>
    </row>
    <row r="167" spans="3:16" s="170" customFormat="1" x14ac:dyDescent="0.3">
      <c r="C167" s="183"/>
      <c r="D167" s="4" t="s">
        <v>201</v>
      </c>
      <c r="E167" s="135" t="s">
        <v>0</v>
      </c>
      <c r="F167" s="125">
        <v>1</v>
      </c>
      <c r="G167" s="6">
        <f>0.56+0.78</f>
        <v>1.34</v>
      </c>
      <c r="H167" s="6"/>
      <c r="I167" s="6">
        <v>3</v>
      </c>
      <c r="J167" s="5">
        <v>1</v>
      </c>
      <c r="K167" s="7"/>
      <c r="L167" s="7">
        <f t="shared" si="15"/>
        <v>4.0200000000000005</v>
      </c>
      <c r="M167" s="188"/>
      <c r="N167" s="188"/>
      <c r="O167" s="188"/>
      <c r="P167" s="188"/>
    </row>
    <row r="168" spans="3:16" s="170" customFormat="1" x14ac:dyDescent="0.3">
      <c r="C168" s="183"/>
      <c r="D168" s="4" t="s">
        <v>202</v>
      </c>
      <c r="E168" s="135" t="s">
        <v>0</v>
      </c>
      <c r="F168" s="125">
        <v>1</v>
      </c>
      <c r="G168" s="6">
        <f>2.06+2.27</f>
        <v>4.33</v>
      </c>
      <c r="H168" s="6"/>
      <c r="I168" s="6">
        <v>3</v>
      </c>
      <c r="J168" s="5">
        <v>1</v>
      </c>
      <c r="K168" s="7"/>
      <c r="L168" s="7">
        <f t="shared" si="15"/>
        <v>12.99</v>
      </c>
      <c r="M168" s="188"/>
      <c r="N168" s="188"/>
      <c r="O168" s="188"/>
      <c r="P168" s="188"/>
    </row>
    <row r="169" spans="3:16" s="170" customFormat="1" x14ac:dyDescent="0.3">
      <c r="C169" s="183"/>
      <c r="D169" s="4" t="s">
        <v>203</v>
      </c>
      <c r="E169" s="135" t="s">
        <v>0</v>
      </c>
      <c r="F169" s="125">
        <v>1</v>
      </c>
      <c r="G169" s="6">
        <v>1.59</v>
      </c>
      <c r="H169" s="6"/>
      <c r="I169" s="6">
        <v>3</v>
      </c>
      <c r="J169" s="5">
        <v>1</v>
      </c>
      <c r="K169" s="7"/>
      <c r="L169" s="7">
        <f t="shared" si="15"/>
        <v>4.7700000000000005</v>
      </c>
      <c r="M169" s="188"/>
      <c r="N169" s="188"/>
      <c r="O169" s="188"/>
      <c r="P169" s="188"/>
    </row>
    <row r="170" spans="3:16" s="170" customFormat="1" x14ac:dyDescent="0.3">
      <c r="C170" s="183"/>
      <c r="D170" s="4" t="s">
        <v>204</v>
      </c>
      <c r="E170" s="135" t="s">
        <v>0</v>
      </c>
      <c r="F170" s="125">
        <v>1</v>
      </c>
      <c r="G170" s="6">
        <f>0.56+0.78</f>
        <v>1.34</v>
      </c>
      <c r="H170" s="6"/>
      <c r="I170" s="6">
        <v>3</v>
      </c>
      <c r="J170" s="5">
        <v>1</v>
      </c>
      <c r="K170" s="7"/>
      <c r="L170" s="7">
        <f t="shared" si="15"/>
        <v>4.0200000000000005</v>
      </c>
      <c r="M170" s="188"/>
      <c r="N170" s="188"/>
      <c r="O170" s="188"/>
      <c r="P170" s="188"/>
    </row>
    <row r="171" spans="3:16" s="170" customFormat="1" x14ac:dyDescent="0.3">
      <c r="C171" s="183"/>
      <c r="D171" s="4" t="s">
        <v>205</v>
      </c>
      <c r="E171" s="135" t="s">
        <v>0</v>
      </c>
      <c r="F171" s="125">
        <v>1</v>
      </c>
      <c r="G171" s="6">
        <v>1.79</v>
      </c>
      <c r="H171" s="6"/>
      <c r="I171" s="6">
        <v>3</v>
      </c>
      <c r="J171" s="5">
        <v>1</v>
      </c>
      <c r="K171" s="7"/>
      <c r="L171" s="7">
        <f t="shared" si="15"/>
        <v>5.37</v>
      </c>
      <c r="M171" s="188"/>
      <c r="N171" s="188"/>
      <c r="O171" s="188"/>
      <c r="P171" s="188"/>
    </row>
    <row r="172" spans="3:16" s="170" customFormat="1" x14ac:dyDescent="0.3">
      <c r="C172" s="183"/>
      <c r="D172" s="4" t="s">
        <v>206</v>
      </c>
      <c r="E172" s="135" t="s">
        <v>0</v>
      </c>
      <c r="F172" s="125">
        <v>1</v>
      </c>
      <c r="G172" s="6">
        <v>2.4500000000000002</v>
      </c>
      <c r="H172" s="6"/>
      <c r="I172" s="6">
        <v>3</v>
      </c>
      <c r="J172" s="5">
        <v>1</v>
      </c>
      <c r="K172" s="7"/>
      <c r="L172" s="7">
        <f>IF(F172="","",PRODUCT(F172:J172))</f>
        <v>7.3500000000000005</v>
      </c>
      <c r="M172" s="188"/>
      <c r="N172" s="188"/>
      <c r="O172" s="188"/>
      <c r="P172" s="188"/>
    </row>
    <row r="173" spans="3:16" s="170" customFormat="1" x14ac:dyDescent="0.3">
      <c r="C173" s="183"/>
      <c r="D173" s="4" t="s">
        <v>207</v>
      </c>
      <c r="E173" s="135" t="s">
        <v>0</v>
      </c>
      <c r="F173" s="125">
        <v>1</v>
      </c>
      <c r="G173" s="6">
        <v>0.7</v>
      </c>
      <c r="H173" s="6"/>
      <c r="I173" s="6">
        <v>3</v>
      </c>
      <c r="J173" s="5">
        <v>1</v>
      </c>
      <c r="K173" s="7"/>
      <c r="L173" s="7">
        <f t="shared" ref="L173:L187" si="16">IF(F173="","",PRODUCT(F173:J173))</f>
        <v>2.0999999999999996</v>
      </c>
      <c r="M173" s="188"/>
      <c r="N173" s="188"/>
      <c r="O173" s="188"/>
      <c r="P173" s="188"/>
    </row>
    <row r="174" spans="3:16" s="170" customFormat="1" x14ac:dyDescent="0.3">
      <c r="C174" s="183"/>
      <c r="D174" s="4" t="s">
        <v>208</v>
      </c>
      <c r="E174" s="135" t="s">
        <v>0</v>
      </c>
      <c r="F174" s="125">
        <v>1</v>
      </c>
      <c r="G174" s="6">
        <v>1.55</v>
      </c>
      <c r="H174" s="6"/>
      <c r="I174" s="6">
        <v>3</v>
      </c>
      <c r="J174" s="5">
        <v>1</v>
      </c>
      <c r="K174" s="7"/>
      <c r="L174" s="7">
        <f t="shared" si="16"/>
        <v>4.6500000000000004</v>
      </c>
      <c r="M174" s="188"/>
      <c r="N174" s="188"/>
      <c r="O174" s="188"/>
      <c r="P174" s="188"/>
    </row>
    <row r="175" spans="3:16" s="170" customFormat="1" x14ac:dyDescent="0.3">
      <c r="C175" s="183"/>
      <c r="D175" s="4" t="s">
        <v>209</v>
      </c>
      <c r="E175" s="135" t="s">
        <v>0</v>
      </c>
      <c r="F175" s="125">
        <v>1</v>
      </c>
      <c r="G175" s="6">
        <v>1.1000000000000001</v>
      </c>
      <c r="H175" s="6"/>
      <c r="I175" s="6">
        <v>3</v>
      </c>
      <c r="J175" s="5">
        <v>1</v>
      </c>
      <c r="K175" s="7"/>
      <c r="L175" s="7">
        <f t="shared" si="16"/>
        <v>3.3000000000000003</v>
      </c>
      <c r="M175" s="188"/>
      <c r="N175" s="188"/>
      <c r="O175" s="188"/>
      <c r="P175" s="188"/>
    </row>
    <row r="176" spans="3:16" s="170" customFormat="1" x14ac:dyDescent="0.3">
      <c r="C176" s="183"/>
      <c r="D176" s="4" t="s">
        <v>210</v>
      </c>
      <c r="E176" s="135" t="s">
        <v>0</v>
      </c>
      <c r="F176" s="125">
        <v>1</v>
      </c>
      <c r="G176" s="6">
        <f>0.53+0.53</f>
        <v>1.06</v>
      </c>
      <c r="H176" s="6"/>
      <c r="I176" s="6">
        <v>3</v>
      </c>
      <c r="J176" s="5">
        <v>1</v>
      </c>
      <c r="K176" s="7"/>
      <c r="L176" s="7">
        <f t="shared" si="16"/>
        <v>3.18</v>
      </c>
      <c r="M176" s="188"/>
      <c r="N176" s="188"/>
      <c r="O176" s="188"/>
      <c r="P176" s="188"/>
    </row>
    <row r="177" spans="3:16" s="170" customFormat="1" x14ac:dyDescent="0.3">
      <c r="C177" s="183"/>
      <c r="D177" s="4" t="s">
        <v>211</v>
      </c>
      <c r="E177" s="135" t="s">
        <v>0</v>
      </c>
      <c r="F177" s="125">
        <v>1</v>
      </c>
      <c r="G177" s="6">
        <v>1.1000000000000001</v>
      </c>
      <c r="H177" s="6"/>
      <c r="I177" s="6">
        <v>3</v>
      </c>
      <c r="J177" s="5">
        <v>1</v>
      </c>
      <c r="K177" s="7"/>
      <c r="L177" s="7">
        <f t="shared" si="16"/>
        <v>3.3000000000000003</v>
      </c>
      <c r="M177" s="188"/>
      <c r="N177" s="188"/>
      <c r="O177" s="188"/>
      <c r="P177" s="188"/>
    </row>
    <row r="178" spans="3:16" s="170" customFormat="1" x14ac:dyDescent="0.3">
      <c r="C178" s="183"/>
      <c r="D178" s="4" t="s">
        <v>212</v>
      </c>
      <c r="E178" s="135" t="s">
        <v>0</v>
      </c>
      <c r="F178" s="125">
        <v>1</v>
      </c>
      <c r="G178" s="6">
        <f>2.42*2</f>
        <v>4.84</v>
      </c>
      <c r="H178" s="6"/>
      <c r="I178" s="6">
        <v>3</v>
      </c>
      <c r="J178" s="5">
        <v>1</v>
      </c>
      <c r="K178" s="7"/>
      <c r="L178" s="7">
        <f t="shared" si="16"/>
        <v>14.52</v>
      </c>
      <c r="M178" s="188"/>
      <c r="N178" s="188"/>
      <c r="O178" s="188"/>
      <c r="P178" s="188"/>
    </row>
    <row r="179" spans="3:16" s="170" customFormat="1" x14ac:dyDescent="0.3">
      <c r="C179" s="183"/>
      <c r="D179" s="4" t="s">
        <v>213</v>
      </c>
      <c r="E179" s="135" t="s">
        <v>0</v>
      </c>
      <c r="F179" s="125">
        <v>1</v>
      </c>
      <c r="G179" s="6">
        <v>1.1000000000000001</v>
      </c>
      <c r="H179" s="6"/>
      <c r="I179" s="6">
        <v>3</v>
      </c>
      <c r="J179" s="5">
        <v>1</v>
      </c>
      <c r="K179" s="7"/>
      <c r="L179" s="7">
        <f t="shared" si="16"/>
        <v>3.3000000000000003</v>
      </c>
      <c r="M179" s="188"/>
      <c r="N179" s="188"/>
      <c r="O179" s="188"/>
      <c r="P179" s="188"/>
    </row>
    <row r="180" spans="3:16" s="170" customFormat="1" x14ac:dyDescent="0.3">
      <c r="C180" s="183"/>
      <c r="D180" s="4" t="s">
        <v>214</v>
      </c>
      <c r="E180" s="135" t="s">
        <v>0</v>
      </c>
      <c r="F180" s="125">
        <v>1</v>
      </c>
      <c r="G180" s="6">
        <v>1.55</v>
      </c>
      <c r="H180" s="6"/>
      <c r="I180" s="6">
        <v>3</v>
      </c>
      <c r="J180" s="5">
        <v>1</v>
      </c>
      <c r="K180" s="7"/>
      <c r="L180" s="7">
        <f t="shared" si="16"/>
        <v>4.6500000000000004</v>
      </c>
      <c r="M180" s="188"/>
      <c r="N180" s="188"/>
      <c r="O180" s="188"/>
      <c r="P180" s="188"/>
    </row>
    <row r="181" spans="3:16" s="170" customFormat="1" x14ac:dyDescent="0.3">
      <c r="C181" s="183"/>
      <c r="D181" s="4" t="s">
        <v>215</v>
      </c>
      <c r="E181" s="135" t="s">
        <v>0</v>
      </c>
      <c r="F181" s="125">
        <v>1</v>
      </c>
      <c r="G181" s="6">
        <v>1.1000000000000001</v>
      </c>
      <c r="H181" s="6"/>
      <c r="I181" s="6">
        <v>3</v>
      </c>
      <c r="J181" s="5">
        <v>1</v>
      </c>
      <c r="K181" s="7"/>
      <c r="L181" s="7">
        <f t="shared" si="16"/>
        <v>3.3000000000000003</v>
      </c>
      <c r="M181" s="188"/>
      <c r="N181" s="188"/>
      <c r="O181" s="188"/>
      <c r="P181" s="188"/>
    </row>
    <row r="182" spans="3:16" s="170" customFormat="1" x14ac:dyDescent="0.3">
      <c r="C182" s="183"/>
      <c r="D182" s="4" t="s">
        <v>216</v>
      </c>
      <c r="E182" s="135" t="s">
        <v>0</v>
      </c>
      <c r="F182" s="125">
        <v>1</v>
      </c>
      <c r="G182" s="6">
        <f>0.53+0.53</f>
        <v>1.06</v>
      </c>
      <c r="H182" s="6"/>
      <c r="I182" s="6">
        <v>3</v>
      </c>
      <c r="J182" s="5">
        <v>1</v>
      </c>
      <c r="K182" s="7"/>
      <c r="L182" s="7">
        <f t="shared" si="16"/>
        <v>3.18</v>
      </c>
      <c r="M182" s="188"/>
      <c r="N182" s="188"/>
      <c r="O182" s="188"/>
      <c r="P182" s="188"/>
    </row>
    <row r="183" spans="3:16" s="170" customFormat="1" x14ac:dyDescent="0.3">
      <c r="C183" s="183"/>
      <c r="D183" s="4" t="s">
        <v>217</v>
      </c>
      <c r="E183" s="135" t="s">
        <v>0</v>
      </c>
      <c r="F183" s="125">
        <v>1</v>
      </c>
      <c r="G183" s="6">
        <v>1.1000000000000001</v>
      </c>
      <c r="H183" s="6"/>
      <c r="I183" s="6">
        <v>3</v>
      </c>
      <c r="J183" s="5">
        <v>1</v>
      </c>
      <c r="K183" s="7"/>
      <c r="L183" s="7">
        <f t="shared" si="16"/>
        <v>3.3000000000000003</v>
      </c>
      <c r="M183" s="188"/>
      <c r="N183" s="188"/>
      <c r="O183" s="188"/>
      <c r="P183" s="188"/>
    </row>
    <row r="184" spans="3:16" s="170" customFormat="1" x14ac:dyDescent="0.3">
      <c r="C184" s="183"/>
      <c r="D184" s="4" t="s">
        <v>218</v>
      </c>
      <c r="E184" s="135" t="s">
        <v>0</v>
      </c>
      <c r="F184" s="125">
        <v>1</v>
      </c>
      <c r="G184" s="6">
        <v>2.4500000000000002</v>
      </c>
      <c r="H184" s="6"/>
      <c r="I184" s="6">
        <v>3</v>
      </c>
      <c r="J184" s="5">
        <v>1</v>
      </c>
      <c r="K184" s="7"/>
      <c r="L184" s="7">
        <f t="shared" si="16"/>
        <v>7.3500000000000005</v>
      </c>
      <c r="M184" s="188"/>
      <c r="N184" s="188"/>
      <c r="O184" s="188"/>
      <c r="P184" s="188"/>
    </row>
    <row r="185" spans="3:16" s="170" customFormat="1" x14ac:dyDescent="0.3">
      <c r="C185" s="183"/>
      <c r="D185" s="4" t="s">
        <v>265</v>
      </c>
      <c r="E185" s="135" t="s">
        <v>0</v>
      </c>
      <c r="F185" s="125">
        <v>1</v>
      </c>
      <c r="G185" s="6">
        <v>0.7</v>
      </c>
      <c r="H185" s="6"/>
      <c r="I185" s="6">
        <v>3</v>
      </c>
      <c r="J185" s="5">
        <v>1</v>
      </c>
      <c r="K185" s="7"/>
      <c r="L185" s="7">
        <f t="shared" si="16"/>
        <v>2.0999999999999996</v>
      </c>
      <c r="M185" s="188"/>
      <c r="N185" s="188"/>
      <c r="O185" s="188"/>
      <c r="P185" s="188"/>
    </row>
    <row r="186" spans="3:16" s="170" customFormat="1" x14ac:dyDescent="0.3">
      <c r="C186" s="183"/>
      <c r="D186" s="4" t="s">
        <v>220</v>
      </c>
      <c r="E186" s="135" t="s">
        <v>0</v>
      </c>
      <c r="F186" s="125">
        <v>2</v>
      </c>
      <c r="G186" s="6">
        <v>0.6</v>
      </c>
      <c r="H186" s="6"/>
      <c r="I186" s="6">
        <v>3</v>
      </c>
      <c r="J186" s="5">
        <v>1</v>
      </c>
      <c r="K186" s="7"/>
      <c r="L186" s="7">
        <f t="shared" si="16"/>
        <v>3.5999999999999996</v>
      </c>
      <c r="M186" s="188"/>
      <c r="N186" s="188"/>
      <c r="O186" s="188"/>
      <c r="P186" s="188"/>
    </row>
    <row r="187" spans="3:16" s="170" customFormat="1" x14ac:dyDescent="0.3">
      <c r="C187" s="183"/>
      <c r="D187" s="4"/>
      <c r="E187" s="135" t="s">
        <v>0</v>
      </c>
      <c r="F187" s="125">
        <v>11</v>
      </c>
      <c r="G187" s="6">
        <v>0.95</v>
      </c>
      <c r="H187" s="6"/>
      <c r="I187" s="6">
        <v>3</v>
      </c>
      <c r="J187" s="5">
        <v>1</v>
      </c>
      <c r="K187" s="7"/>
      <c r="L187" s="7">
        <f t="shared" si="16"/>
        <v>31.349999999999998</v>
      </c>
      <c r="M187" s="188"/>
      <c r="N187" s="188"/>
      <c r="O187" s="188"/>
      <c r="P187" s="188"/>
    </row>
    <row r="188" spans="3:16" s="170" customFormat="1" x14ac:dyDescent="0.3">
      <c r="C188" s="181"/>
      <c r="D188" s="201" t="s">
        <v>106</v>
      </c>
      <c r="E188" s="189"/>
      <c r="F188" s="190"/>
      <c r="G188" s="191" t="s">
        <v>198</v>
      </c>
      <c r="H188" s="191"/>
      <c r="I188" s="191"/>
      <c r="J188" s="160"/>
      <c r="K188" s="180"/>
      <c r="L188" s="180"/>
      <c r="M188" s="180"/>
      <c r="N188" s="180"/>
      <c r="O188" s="180"/>
      <c r="P188" s="180"/>
    </row>
    <row r="189" spans="3:16" s="170" customFormat="1" x14ac:dyDescent="0.3">
      <c r="C189" s="183"/>
      <c r="D189" s="4" t="s">
        <v>199</v>
      </c>
      <c r="E189" s="135" t="s">
        <v>0</v>
      </c>
      <c r="F189" s="125">
        <v>1</v>
      </c>
      <c r="G189" s="6">
        <v>2</v>
      </c>
      <c r="H189" s="6"/>
      <c r="I189" s="6">
        <v>2.95</v>
      </c>
      <c r="J189" s="5">
        <v>1</v>
      </c>
      <c r="K189" s="7"/>
      <c r="L189" s="7">
        <f>IF(F189="","",PRODUCT(F189:J189))</f>
        <v>5.9</v>
      </c>
      <c r="M189" s="188"/>
      <c r="N189" s="188"/>
      <c r="O189" s="188"/>
      <c r="P189" s="188"/>
    </row>
    <row r="190" spans="3:16" s="170" customFormat="1" x14ac:dyDescent="0.3">
      <c r="C190" s="183"/>
      <c r="D190" s="4" t="s">
        <v>200</v>
      </c>
      <c r="E190" s="135" t="s">
        <v>0</v>
      </c>
      <c r="F190" s="125">
        <v>1</v>
      </c>
      <c r="G190" s="6">
        <v>1.59</v>
      </c>
      <c r="H190" s="6"/>
      <c r="I190" s="6">
        <v>2.95</v>
      </c>
      <c r="J190" s="5">
        <v>1</v>
      </c>
      <c r="K190" s="7"/>
      <c r="L190" s="7">
        <f t="shared" ref="L190:L195" si="17">IF(F190="","",PRODUCT(F190:J190))</f>
        <v>4.6905000000000001</v>
      </c>
      <c r="M190" s="188"/>
      <c r="N190" s="188"/>
      <c r="O190" s="188"/>
      <c r="P190" s="188"/>
    </row>
    <row r="191" spans="3:16" s="170" customFormat="1" x14ac:dyDescent="0.3">
      <c r="C191" s="183"/>
      <c r="D191" s="4" t="s">
        <v>201</v>
      </c>
      <c r="E191" s="135" t="s">
        <v>0</v>
      </c>
      <c r="F191" s="125">
        <v>1</v>
      </c>
      <c r="G191" s="6">
        <v>1.59</v>
      </c>
      <c r="H191" s="6"/>
      <c r="I191" s="6">
        <v>2.95</v>
      </c>
      <c r="J191" s="5">
        <v>1</v>
      </c>
      <c r="K191" s="7"/>
      <c r="L191" s="7">
        <f t="shared" si="17"/>
        <v>4.6905000000000001</v>
      </c>
      <c r="M191" s="188"/>
      <c r="N191" s="188"/>
      <c r="O191" s="188"/>
      <c r="P191" s="188"/>
    </row>
    <row r="192" spans="3:16" s="170" customFormat="1" x14ac:dyDescent="0.3">
      <c r="C192" s="183"/>
      <c r="D192" s="4" t="s">
        <v>202</v>
      </c>
      <c r="E192" s="135" t="s">
        <v>0</v>
      </c>
      <c r="F192" s="125">
        <v>1</v>
      </c>
      <c r="G192" s="6">
        <v>4.59</v>
      </c>
      <c r="H192" s="6"/>
      <c r="I192" s="6">
        <v>2.95</v>
      </c>
      <c r="J192" s="5">
        <v>1</v>
      </c>
      <c r="K192" s="7"/>
      <c r="L192" s="7">
        <f t="shared" si="17"/>
        <v>13.5405</v>
      </c>
      <c r="M192" s="188"/>
      <c r="N192" s="188"/>
      <c r="O192" s="188"/>
      <c r="P192" s="188"/>
    </row>
    <row r="193" spans="3:16" s="170" customFormat="1" x14ac:dyDescent="0.3">
      <c r="C193" s="183"/>
      <c r="D193" s="4" t="s">
        <v>203</v>
      </c>
      <c r="E193" s="135" t="s">
        <v>0</v>
      </c>
      <c r="F193" s="125">
        <v>1</v>
      </c>
      <c r="G193" s="6">
        <v>1.59</v>
      </c>
      <c r="H193" s="6"/>
      <c r="I193" s="6">
        <v>2.95</v>
      </c>
      <c r="J193" s="5">
        <v>1</v>
      </c>
      <c r="K193" s="7"/>
      <c r="L193" s="7">
        <f t="shared" si="17"/>
        <v>4.6905000000000001</v>
      </c>
      <c r="M193" s="188"/>
      <c r="N193" s="188"/>
      <c r="O193" s="188"/>
      <c r="P193" s="188"/>
    </row>
    <row r="194" spans="3:16" s="170" customFormat="1" x14ac:dyDescent="0.3">
      <c r="C194" s="183"/>
      <c r="D194" s="4" t="s">
        <v>204</v>
      </c>
      <c r="E194" s="135" t="s">
        <v>0</v>
      </c>
      <c r="F194" s="125">
        <v>1</v>
      </c>
      <c r="G194" s="6">
        <v>1.59</v>
      </c>
      <c r="H194" s="6"/>
      <c r="I194" s="6">
        <v>2.95</v>
      </c>
      <c r="J194" s="5">
        <v>1</v>
      </c>
      <c r="K194" s="7"/>
      <c r="L194" s="7">
        <f t="shared" si="17"/>
        <v>4.6905000000000001</v>
      </c>
      <c r="M194" s="188"/>
      <c r="N194" s="188"/>
      <c r="O194" s="188"/>
      <c r="P194" s="188"/>
    </row>
    <row r="195" spans="3:16" s="170" customFormat="1" x14ac:dyDescent="0.3">
      <c r="C195" s="183"/>
      <c r="D195" s="4" t="s">
        <v>205</v>
      </c>
      <c r="E195" s="135" t="s">
        <v>0</v>
      </c>
      <c r="F195" s="125">
        <v>1</v>
      </c>
      <c r="G195" s="6">
        <v>1.79</v>
      </c>
      <c r="H195" s="6"/>
      <c r="I195" s="6">
        <v>2.95</v>
      </c>
      <c r="J195" s="5">
        <v>1</v>
      </c>
      <c r="K195" s="7"/>
      <c r="L195" s="7">
        <f t="shared" si="17"/>
        <v>5.2805000000000009</v>
      </c>
      <c r="M195" s="188"/>
      <c r="N195" s="188"/>
      <c r="O195" s="188"/>
      <c r="P195" s="188"/>
    </row>
    <row r="196" spans="3:16" s="170" customFormat="1" x14ac:dyDescent="0.3">
      <c r="C196" s="183"/>
      <c r="D196" s="4" t="s">
        <v>206</v>
      </c>
      <c r="E196" s="135" t="s">
        <v>0</v>
      </c>
      <c r="F196" s="125">
        <v>1</v>
      </c>
      <c r="G196" s="6">
        <v>2.4500000000000002</v>
      </c>
      <c r="H196" s="6"/>
      <c r="I196" s="6">
        <v>2.95</v>
      </c>
      <c r="J196" s="5">
        <v>1</v>
      </c>
      <c r="K196" s="7"/>
      <c r="L196" s="7">
        <f>IF(F196="","",PRODUCT(F196:J196))</f>
        <v>7.2275000000000009</v>
      </c>
      <c r="M196" s="188"/>
      <c r="N196" s="188"/>
      <c r="O196" s="188"/>
      <c r="P196" s="188"/>
    </row>
    <row r="197" spans="3:16" s="170" customFormat="1" x14ac:dyDescent="0.3">
      <c r="C197" s="183"/>
      <c r="D197" s="4" t="s">
        <v>207</v>
      </c>
      <c r="E197" s="135" t="s">
        <v>0</v>
      </c>
      <c r="F197" s="125">
        <v>1</v>
      </c>
      <c r="G197" s="6">
        <v>0.7</v>
      </c>
      <c r="H197" s="6"/>
      <c r="I197" s="6">
        <v>2.95</v>
      </c>
      <c r="J197" s="5">
        <v>1</v>
      </c>
      <c r="K197" s="7"/>
      <c r="L197" s="7">
        <f t="shared" ref="L197:L212" si="18">IF(F197="","",PRODUCT(F197:J197))</f>
        <v>2.0649999999999999</v>
      </c>
      <c r="M197" s="188"/>
      <c r="N197" s="188"/>
      <c r="O197" s="188"/>
      <c r="P197" s="188"/>
    </row>
    <row r="198" spans="3:16" s="170" customFormat="1" x14ac:dyDescent="0.3">
      <c r="C198" s="183"/>
      <c r="D198" s="4" t="s">
        <v>208</v>
      </c>
      <c r="E198" s="135" t="s">
        <v>0</v>
      </c>
      <c r="F198" s="125">
        <v>1</v>
      </c>
      <c r="G198" s="6">
        <v>1.55</v>
      </c>
      <c r="H198" s="6"/>
      <c r="I198" s="6">
        <v>2.95</v>
      </c>
      <c r="J198" s="5">
        <v>1</v>
      </c>
      <c r="K198" s="7"/>
      <c r="L198" s="7">
        <f t="shared" si="18"/>
        <v>4.5725000000000007</v>
      </c>
      <c r="M198" s="188"/>
      <c r="N198" s="188"/>
      <c r="O198" s="188"/>
      <c r="P198" s="188"/>
    </row>
    <row r="199" spans="3:16" s="170" customFormat="1" x14ac:dyDescent="0.3">
      <c r="C199" s="183"/>
      <c r="D199" s="4" t="s">
        <v>209</v>
      </c>
      <c r="E199" s="135" t="s">
        <v>0</v>
      </c>
      <c r="F199" s="125">
        <v>1</v>
      </c>
      <c r="G199" s="6">
        <v>1.1000000000000001</v>
      </c>
      <c r="H199" s="6"/>
      <c r="I199" s="6">
        <v>2.95</v>
      </c>
      <c r="J199" s="5">
        <v>1</v>
      </c>
      <c r="K199" s="7"/>
      <c r="L199" s="7">
        <f t="shared" si="18"/>
        <v>3.2450000000000006</v>
      </c>
      <c r="M199" s="188"/>
      <c r="N199" s="188"/>
      <c r="O199" s="188"/>
      <c r="P199" s="188"/>
    </row>
    <row r="200" spans="3:16" s="170" customFormat="1" x14ac:dyDescent="0.3">
      <c r="C200" s="183"/>
      <c r="D200" s="4" t="s">
        <v>210</v>
      </c>
      <c r="E200" s="135" t="s">
        <v>0</v>
      </c>
      <c r="F200" s="125">
        <v>1</v>
      </c>
      <c r="G200" s="6">
        <f>0.52+0.83</f>
        <v>1.35</v>
      </c>
      <c r="H200" s="6"/>
      <c r="I200" s="6">
        <v>2.95</v>
      </c>
      <c r="J200" s="5">
        <v>1</v>
      </c>
      <c r="K200" s="7"/>
      <c r="L200" s="7">
        <f t="shared" si="18"/>
        <v>3.9825000000000004</v>
      </c>
      <c r="M200" s="188"/>
      <c r="N200" s="188"/>
      <c r="O200" s="188"/>
      <c r="P200" s="188"/>
    </row>
    <row r="201" spans="3:16" s="170" customFormat="1" x14ac:dyDescent="0.3">
      <c r="C201" s="183"/>
      <c r="D201" s="4" t="s">
        <v>211</v>
      </c>
      <c r="E201" s="135" t="s">
        <v>0</v>
      </c>
      <c r="F201" s="125">
        <v>1</v>
      </c>
      <c r="G201" s="6">
        <v>1.1000000000000001</v>
      </c>
      <c r="H201" s="6"/>
      <c r="I201" s="6">
        <v>2.95</v>
      </c>
      <c r="J201" s="5">
        <v>1</v>
      </c>
      <c r="K201" s="7"/>
      <c r="L201" s="7">
        <f t="shared" si="18"/>
        <v>3.2450000000000006</v>
      </c>
      <c r="M201" s="188"/>
      <c r="N201" s="188"/>
      <c r="O201" s="188"/>
      <c r="P201" s="188"/>
    </row>
    <row r="202" spans="3:16" s="170" customFormat="1" x14ac:dyDescent="0.3">
      <c r="C202" s="183"/>
      <c r="D202" s="4" t="s">
        <v>212</v>
      </c>
      <c r="E202" s="135" t="s">
        <v>0</v>
      </c>
      <c r="F202" s="125">
        <v>1</v>
      </c>
      <c r="G202" s="6">
        <f>2.42*2+0.25-0.3</f>
        <v>4.79</v>
      </c>
      <c r="H202" s="6"/>
      <c r="I202" s="6">
        <v>2.95</v>
      </c>
      <c r="J202" s="5">
        <v>1</v>
      </c>
      <c r="K202" s="7"/>
      <c r="L202" s="7">
        <f t="shared" si="18"/>
        <v>14.130500000000001</v>
      </c>
      <c r="M202" s="188"/>
      <c r="N202" s="188"/>
      <c r="O202" s="188"/>
      <c r="P202" s="188"/>
    </row>
    <row r="203" spans="3:16" s="170" customFormat="1" x14ac:dyDescent="0.3">
      <c r="C203" s="183"/>
      <c r="D203" s="4" t="s">
        <v>213</v>
      </c>
      <c r="E203" s="135" t="s">
        <v>0</v>
      </c>
      <c r="F203" s="125">
        <v>1</v>
      </c>
      <c r="G203" s="6">
        <v>1.1000000000000001</v>
      </c>
      <c r="H203" s="6"/>
      <c r="I203" s="6">
        <v>2.95</v>
      </c>
      <c r="J203" s="5">
        <v>1</v>
      </c>
      <c r="K203" s="7"/>
      <c r="L203" s="7">
        <f t="shared" si="18"/>
        <v>3.2450000000000006</v>
      </c>
      <c r="M203" s="188"/>
      <c r="N203" s="188"/>
      <c r="O203" s="188"/>
      <c r="P203" s="188"/>
    </row>
    <row r="204" spans="3:16" s="170" customFormat="1" x14ac:dyDescent="0.3">
      <c r="C204" s="183"/>
      <c r="D204" s="4" t="s">
        <v>214</v>
      </c>
      <c r="E204" s="135" t="s">
        <v>0</v>
      </c>
      <c r="F204" s="125">
        <v>1</v>
      </c>
      <c r="G204" s="6">
        <v>1.55</v>
      </c>
      <c r="H204" s="6"/>
      <c r="I204" s="6">
        <v>2.95</v>
      </c>
      <c r="J204" s="5">
        <v>1</v>
      </c>
      <c r="K204" s="7"/>
      <c r="L204" s="7">
        <f t="shared" si="18"/>
        <v>4.5725000000000007</v>
      </c>
      <c r="M204" s="188"/>
      <c r="N204" s="188"/>
      <c r="O204" s="188"/>
      <c r="P204" s="188"/>
    </row>
    <row r="205" spans="3:16" s="170" customFormat="1" x14ac:dyDescent="0.3">
      <c r="C205" s="183"/>
      <c r="D205" s="4" t="s">
        <v>215</v>
      </c>
      <c r="E205" s="135" t="s">
        <v>0</v>
      </c>
      <c r="F205" s="125">
        <v>1</v>
      </c>
      <c r="G205" s="6">
        <v>1.1000000000000001</v>
      </c>
      <c r="H205" s="6"/>
      <c r="I205" s="6">
        <v>2.95</v>
      </c>
      <c r="J205" s="5">
        <v>1</v>
      </c>
      <c r="K205" s="7"/>
      <c r="L205" s="7">
        <f t="shared" si="18"/>
        <v>3.2450000000000006</v>
      </c>
      <c r="M205" s="188"/>
      <c r="N205" s="188"/>
      <c r="O205" s="188"/>
      <c r="P205" s="188"/>
    </row>
    <row r="206" spans="3:16" s="170" customFormat="1" x14ac:dyDescent="0.3">
      <c r="C206" s="183"/>
      <c r="D206" s="4" t="s">
        <v>216</v>
      </c>
      <c r="E206" s="135" t="s">
        <v>0</v>
      </c>
      <c r="F206" s="125">
        <v>1</v>
      </c>
      <c r="G206" s="6">
        <v>1.55</v>
      </c>
      <c r="H206" s="6"/>
      <c r="I206" s="6">
        <v>2.95</v>
      </c>
      <c r="J206" s="5">
        <v>1</v>
      </c>
      <c r="K206" s="7"/>
      <c r="L206" s="7">
        <f t="shared" si="18"/>
        <v>4.5725000000000007</v>
      </c>
      <c r="M206" s="188"/>
      <c r="N206" s="188"/>
      <c r="O206" s="188"/>
      <c r="P206" s="188"/>
    </row>
    <row r="207" spans="3:16" s="170" customFormat="1" x14ac:dyDescent="0.3">
      <c r="C207" s="183"/>
      <c r="D207" s="4" t="s">
        <v>217</v>
      </c>
      <c r="E207" s="135" t="s">
        <v>0</v>
      </c>
      <c r="F207" s="125">
        <v>1</v>
      </c>
      <c r="G207" s="6">
        <v>1.1000000000000001</v>
      </c>
      <c r="H207" s="6"/>
      <c r="I207" s="6">
        <v>2.95</v>
      </c>
      <c r="J207" s="5">
        <v>1</v>
      </c>
      <c r="K207" s="7"/>
      <c r="L207" s="7">
        <f t="shared" si="18"/>
        <v>3.2450000000000006</v>
      </c>
      <c r="M207" s="188"/>
      <c r="N207" s="188"/>
      <c r="O207" s="188"/>
      <c r="P207" s="188"/>
    </row>
    <row r="208" spans="3:16" s="170" customFormat="1" x14ac:dyDescent="0.3">
      <c r="C208" s="183"/>
      <c r="D208" s="4" t="s">
        <v>218</v>
      </c>
      <c r="E208" s="135" t="s">
        <v>0</v>
      </c>
      <c r="F208" s="125">
        <v>1</v>
      </c>
      <c r="G208" s="6">
        <v>2.4500000000000002</v>
      </c>
      <c r="H208" s="6"/>
      <c r="I208" s="6">
        <v>2.95</v>
      </c>
      <c r="J208" s="5">
        <v>1</v>
      </c>
      <c r="K208" s="7"/>
      <c r="L208" s="7">
        <f t="shared" si="18"/>
        <v>7.2275000000000009</v>
      </c>
      <c r="M208" s="188"/>
      <c r="N208" s="188"/>
      <c r="O208" s="188"/>
      <c r="P208" s="188"/>
    </row>
    <row r="209" spans="1:16" s="170" customFormat="1" x14ac:dyDescent="0.3">
      <c r="C209" s="183"/>
      <c r="D209" s="4" t="s">
        <v>219</v>
      </c>
      <c r="E209" s="135" t="s">
        <v>0</v>
      </c>
      <c r="F209" s="125">
        <v>1</v>
      </c>
      <c r="G209" s="6">
        <v>0.7</v>
      </c>
      <c r="H209" s="6"/>
      <c r="I209" s="6">
        <v>2.95</v>
      </c>
      <c r="J209" s="5">
        <v>1</v>
      </c>
      <c r="K209" s="7"/>
      <c r="L209" s="7">
        <f t="shared" si="18"/>
        <v>2.0649999999999999</v>
      </c>
      <c r="M209" s="188"/>
      <c r="N209" s="188"/>
      <c r="O209" s="188"/>
      <c r="P209" s="188"/>
    </row>
    <row r="210" spans="1:16" s="170" customFormat="1" x14ac:dyDescent="0.3">
      <c r="C210" s="183"/>
      <c r="D210" s="4" t="s">
        <v>220</v>
      </c>
      <c r="E210" s="135" t="s">
        <v>0</v>
      </c>
      <c r="F210" s="125">
        <v>2</v>
      </c>
      <c r="G210" s="6">
        <v>0.6</v>
      </c>
      <c r="H210" s="6"/>
      <c r="I210" s="6">
        <v>2.95</v>
      </c>
      <c r="J210" s="5">
        <v>1</v>
      </c>
      <c r="K210" s="7"/>
      <c r="L210" s="7">
        <f t="shared" si="18"/>
        <v>3.54</v>
      </c>
      <c r="M210" s="188"/>
      <c r="N210" s="188"/>
      <c r="O210" s="188"/>
      <c r="P210" s="188"/>
    </row>
    <row r="211" spans="1:16" s="170" customFormat="1" x14ac:dyDescent="0.3">
      <c r="C211" s="183"/>
      <c r="D211" s="4"/>
      <c r="E211" s="135" t="s">
        <v>0</v>
      </c>
      <c r="F211" s="125">
        <v>5</v>
      </c>
      <c r="G211" s="6">
        <v>0.95</v>
      </c>
      <c r="H211" s="6"/>
      <c r="I211" s="6">
        <v>2.95</v>
      </c>
      <c r="J211" s="5">
        <v>1</v>
      </c>
      <c r="K211" s="7"/>
      <c r="L211" s="7">
        <f t="shared" si="18"/>
        <v>14.012500000000001</v>
      </c>
      <c r="M211" s="188"/>
      <c r="N211" s="188"/>
      <c r="O211" s="188"/>
      <c r="P211" s="188"/>
    </row>
    <row r="212" spans="1:16" s="170" customFormat="1" x14ac:dyDescent="0.3">
      <c r="C212" s="183"/>
      <c r="D212" s="4"/>
      <c r="E212" s="135" t="s">
        <v>0</v>
      </c>
      <c r="F212" s="125">
        <v>6</v>
      </c>
      <c r="G212" s="6">
        <v>0.95</v>
      </c>
      <c r="H212" s="6"/>
      <c r="I212" s="6">
        <v>3.3</v>
      </c>
      <c r="J212" s="5">
        <v>1</v>
      </c>
      <c r="K212" s="7"/>
      <c r="L212" s="7">
        <f t="shared" si="18"/>
        <v>18.809999999999995</v>
      </c>
      <c r="M212" s="188"/>
      <c r="N212" s="188"/>
      <c r="O212" s="188"/>
      <c r="P212" s="188"/>
    </row>
    <row r="213" spans="1:16" s="170" customFormat="1" x14ac:dyDescent="0.3">
      <c r="C213" s="181"/>
      <c r="D213" s="201"/>
      <c r="E213" s="189"/>
      <c r="F213" s="190"/>
      <c r="G213" s="191"/>
      <c r="H213" s="191"/>
      <c r="I213" s="191"/>
      <c r="J213" s="160"/>
      <c r="K213" s="180"/>
      <c r="L213" s="180"/>
      <c r="M213" s="180"/>
      <c r="N213" s="180"/>
      <c r="O213" s="180"/>
      <c r="P213" s="180"/>
    </row>
    <row r="214" spans="1:16" s="170" customFormat="1" x14ac:dyDescent="0.3">
      <c r="A214" s="170">
        <v>3</v>
      </c>
      <c r="C214" s="99" t="s">
        <v>1183</v>
      </c>
      <c r="D214" s="100" t="s">
        <v>519</v>
      </c>
      <c r="E214" s="173" t="s">
        <v>0</v>
      </c>
      <c r="F214" s="174"/>
      <c r="G214" s="159"/>
      <c r="H214" s="159"/>
      <c r="I214" s="159"/>
      <c r="J214" s="160"/>
      <c r="K214" s="175"/>
      <c r="L214" s="175"/>
      <c r="M214" s="175"/>
      <c r="N214" s="175"/>
      <c r="O214" s="175"/>
      <c r="P214" s="175">
        <f>SUM(L214:L291)</f>
        <v>157.37099999999998</v>
      </c>
    </row>
    <row r="215" spans="1:16" s="170" customFormat="1" x14ac:dyDescent="0.3">
      <c r="C215" s="181"/>
      <c r="D215" s="201" t="s">
        <v>127</v>
      </c>
      <c r="E215" s="189"/>
      <c r="F215" s="190"/>
      <c r="G215" s="191"/>
      <c r="H215" s="191"/>
      <c r="I215" s="191"/>
      <c r="J215" s="160"/>
      <c r="K215" s="180"/>
      <c r="L215" s="180"/>
      <c r="M215" s="180"/>
      <c r="N215" s="180"/>
      <c r="O215" s="180"/>
      <c r="P215" s="180"/>
    </row>
    <row r="216" spans="1:16" s="170" customFormat="1" x14ac:dyDescent="0.3">
      <c r="C216" s="183"/>
      <c r="D216" s="4" t="s">
        <v>221</v>
      </c>
      <c r="E216" s="135" t="s">
        <v>0</v>
      </c>
      <c r="F216" s="125">
        <v>6</v>
      </c>
      <c r="G216" s="6">
        <v>3.65</v>
      </c>
      <c r="H216" s="6">
        <v>0.35</v>
      </c>
      <c r="I216" s="6"/>
      <c r="J216" s="5">
        <v>1</v>
      </c>
      <c r="K216" s="7"/>
      <c r="L216" s="7">
        <f>((I216)+H216)*F216*G216*J216</f>
        <v>7.6649999999999983</v>
      </c>
      <c r="M216" s="188"/>
      <c r="N216" s="188"/>
      <c r="O216" s="188"/>
      <c r="P216" s="188"/>
    </row>
    <row r="217" spans="1:16" s="170" customFormat="1" x14ac:dyDescent="0.3">
      <c r="C217" s="183"/>
      <c r="D217" s="4" t="s">
        <v>222</v>
      </c>
      <c r="E217" s="135" t="s">
        <v>0</v>
      </c>
      <c r="F217" s="125">
        <v>6</v>
      </c>
      <c r="G217" s="6">
        <v>3.65</v>
      </c>
      <c r="H217" s="6">
        <v>0.1</v>
      </c>
      <c r="I217" s="6"/>
      <c r="J217" s="5">
        <v>1</v>
      </c>
      <c r="K217" s="7"/>
      <c r="L217" s="7">
        <f t="shared" ref="L217:L234" si="19">((I217)+H217)*F217*G217*J217</f>
        <v>2.1900000000000004</v>
      </c>
      <c r="M217" s="188"/>
      <c r="N217" s="188"/>
      <c r="O217" s="188"/>
      <c r="P217" s="188"/>
    </row>
    <row r="218" spans="1:16" s="170" customFormat="1" x14ac:dyDescent="0.3">
      <c r="C218" s="183"/>
      <c r="D218" s="4" t="s">
        <v>223</v>
      </c>
      <c r="E218" s="135" t="s">
        <v>0</v>
      </c>
      <c r="F218" s="125">
        <v>12</v>
      </c>
      <c r="G218" s="6">
        <v>2.14</v>
      </c>
      <c r="H218" s="6">
        <v>0.35</v>
      </c>
      <c r="I218" s="6"/>
      <c r="J218" s="5">
        <v>1</v>
      </c>
      <c r="K218" s="7"/>
      <c r="L218" s="7">
        <f t="shared" si="19"/>
        <v>8.9879999999999995</v>
      </c>
      <c r="M218" s="188"/>
      <c r="N218" s="188"/>
      <c r="O218" s="188"/>
      <c r="P218" s="188"/>
    </row>
    <row r="219" spans="1:16" s="170" customFormat="1" x14ac:dyDescent="0.3">
      <c r="C219" s="183"/>
      <c r="D219" s="4" t="s">
        <v>224</v>
      </c>
      <c r="E219" s="135" t="s">
        <v>0</v>
      </c>
      <c r="F219" s="125">
        <v>1</v>
      </c>
      <c r="G219" s="6">
        <v>3.3</v>
      </c>
      <c r="H219" s="6"/>
      <c r="I219" s="6">
        <v>0.1</v>
      </c>
      <c r="J219" s="5">
        <v>1</v>
      </c>
      <c r="K219" s="7"/>
      <c r="L219" s="7">
        <f t="shared" si="19"/>
        <v>0.33</v>
      </c>
      <c r="M219" s="188"/>
      <c r="N219" s="188"/>
      <c r="O219" s="188"/>
      <c r="P219" s="188"/>
    </row>
    <row r="220" spans="1:16" s="170" customFormat="1" x14ac:dyDescent="0.3">
      <c r="C220" s="183"/>
      <c r="D220" s="4" t="s">
        <v>225</v>
      </c>
      <c r="E220" s="135" t="s">
        <v>0</v>
      </c>
      <c r="F220" s="125">
        <v>1</v>
      </c>
      <c r="G220" s="6">
        <v>2.95</v>
      </c>
      <c r="H220" s="6">
        <v>0.25</v>
      </c>
      <c r="I220" s="6"/>
      <c r="J220" s="5">
        <v>1</v>
      </c>
      <c r="K220" s="7"/>
      <c r="L220" s="7">
        <f t="shared" si="19"/>
        <v>0.73750000000000004</v>
      </c>
      <c r="M220" s="188"/>
      <c r="N220" s="188"/>
      <c r="O220" s="188"/>
      <c r="P220" s="188"/>
    </row>
    <row r="221" spans="1:16" s="170" customFormat="1" x14ac:dyDescent="0.3">
      <c r="C221" s="183"/>
      <c r="D221" s="4" t="s">
        <v>226</v>
      </c>
      <c r="E221" s="135" t="s">
        <v>0</v>
      </c>
      <c r="F221" s="125">
        <v>1</v>
      </c>
      <c r="G221" s="6">
        <v>6.4</v>
      </c>
      <c r="H221" s="6">
        <v>0.6</v>
      </c>
      <c r="I221" s="6"/>
      <c r="J221" s="5">
        <v>1</v>
      </c>
      <c r="K221" s="7"/>
      <c r="L221" s="7">
        <f t="shared" si="19"/>
        <v>3.84</v>
      </c>
      <c r="M221" s="188"/>
      <c r="N221" s="188"/>
      <c r="O221" s="188"/>
      <c r="P221" s="188"/>
    </row>
    <row r="222" spans="1:16" s="170" customFormat="1" x14ac:dyDescent="0.3">
      <c r="C222" s="183"/>
      <c r="D222" s="4" t="s">
        <v>227</v>
      </c>
      <c r="E222" s="135" t="s">
        <v>0</v>
      </c>
      <c r="F222" s="125">
        <v>1</v>
      </c>
      <c r="G222" s="6">
        <v>2.95</v>
      </c>
      <c r="H222" s="6">
        <v>0.25</v>
      </c>
      <c r="I222" s="6"/>
      <c r="J222" s="5">
        <v>1</v>
      </c>
      <c r="K222" s="7"/>
      <c r="L222" s="7">
        <f t="shared" si="19"/>
        <v>0.73750000000000004</v>
      </c>
      <c r="M222" s="188"/>
      <c r="N222" s="188"/>
      <c r="O222" s="188"/>
      <c r="P222" s="188"/>
    </row>
    <row r="223" spans="1:16" s="170" customFormat="1" x14ac:dyDescent="0.3">
      <c r="C223" s="183"/>
      <c r="D223" s="4" t="s">
        <v>228</v>
      </c>
      <c r="E223" s="135" t="s">
        <v>0</v>
      </c>
      <c r="F223" s="125">
        <v>1</v>
      </c>
      <c r="G223" s="6">
        <v>6.4</v>
      </c>
      <c r="H223" s="6">
        <v>0.35</v>
      </c>
      <c r="I223" s="6"/>
      <c r="J223" s="5">
        <v>1</v>
      </c>
      <c r="K223" s="7"/>
      <c r="L223" s="7">
        <f t="shared" si="19"/>
        <v>2.2399999999999998</v>
      </c>
      <c r="M223" s="188"/>
      <c r="N223" s="188"/>
      <c r="O223" s="188"/>
      <c r="P223" s="188"/>
    </row>
    <row r="224" spans="1:16" s="170" customFormat="1" x14ac:dyDescent="0.3">
      <c r="C224" s="183"/>
      <c r="D224" s="4" t="s">
        <v>229</v>
      </c>
      <c r="E224" s="135" t="s">
        <v>0</v>
      </c>
      <c r="F224" s="125">
        <v>1</v>
      </c>
      <c r="G224" s="6">
        <v>2.95</v>
      </c>
      <c r="H224" s="6">
        <v>0.25</v>
      </c>
      <c r="I224" s="6"/>
      <c r="J224" s="5">
        <v>1</v>
      </c>
      <c r="K224" s="7"/>
      <c r="L224" s="7">
        <f t="shared" si="19"/>
        <v>0.73750000000000004</v>
      </c>
      <c r="M224" s="188"/>
      <c r="N224" s="188"/>
      <c r="O224" s="188"/>
      <c r="P224" s="188"/>
    </row>
    <row r="225" spans="3:16" s="170" customFormat="1" x14ac:dyDescent="0.3">
      <c r="C225" s="183"/>
      <c r="D225" s="4" t="s">
        <v>230</v>
      </c>
      <c r="E225" s="135" t="s">
        <v>0</v>
      </c>
      <c r="F225" s="125">
        <v>1</v>
      </c>
      <c r="G225" s="6">
        <v>3</v>
      </c>
      <c r="H225" s="6"/>
      <c r="I225" s="6">
        <f>0.1*2</f>
        <v>0.2</v>
      </c>
      <c r="J225" s="5">
        <v>1</v>
      </c>
      <c r="K225" s="7"/>
      <c r="L225" s="7">
        <f t="shared" si="19"/>
        <v>0.60000000000000009</v>
      </c>
      <c r="M225" s="188"/>
      <c r="N225" s="188"/>
      <c r="O225" s="188"/>
      <c r="P225" s="188"/>
    </row>
    <row r="226" spans="3:16" s="170" customFormat="1" x14ac:dyDescent="0.3">
      <c r="C226" s="183"/>
      <c r="D226" s="4" t="s">
        <v>231</v>
      </c>
      <c r="E226" s="135" t="s">
        <v>0</v>
      </c>
      <c r="F226" s="125">
        <v>1</v>
      </c>
      <c r="G226" s="6">
        <v>2.95</v>
      </c>
      <c r="H226" s="6"/>
      <c r="I226" s="6">
        <v>0.25</v>
      </c>
      <c r="J226" s="5">
        <v>1</v>
      </c>
      <c r="K226" s="7"/>
      <c r="L226" s="7">
        <f t="shared" si="19"/>
        <v>0.73750000000000004</v>
      </c>
      <c r="M226" s="188"/>
      <c r="N226" s="188"/>
      <c r="O226" s="188"/>
      <c r="P226" s="188"/>
    </row>
    <row r="227" spans="3:16" s="170" customFormat="1" x14ac:dyDescent="0.3">
      <c r="C227" s="183"/>
      <c r="D227" s="4" t="s">
        <v>232</v>
      </c>
      <c r="E227" s="135" t="s">
        <v>0</v>
      </c>
      <c r="F227" s="125">
        <v>1</v>
      </c>
      <c r="G227" s="6">
        <v>6.4</v>
      </c>
      <c r="H227" s="6">
        <v>0.6</v>
      </c>
      <c r="I227" s="6"/>
      <c r="J227" s="5">
        <v>1</v>
      </c>
      <c r="K227" s="7"/>
      <c r="L227" s="7">
        <f t="shared" si="19"/>
        <v>3.84</v>
      </c>
      <c r="M227" s="188"/>
      <c r="N227" s="188"/>
      <c r="O227" s="188"/>
      <c r="P227" s="188"/>
    </row>
    <row r="228" spans="3:16" s="170" customFormat="1" x14ac:dyDescent="0.3">
      <c r="C228" s="183"/>
      <c r="D228" s="4" t="s">
        <v>233</v>
      </c>
      <c r="E228" s="135" t="s">
        <v>0</v>
      </c>
      <c r="F228" s="125">
        <v>1</v>
      </c>
      <c r="G228" s="6">
        <v>2.95</v>
      </c>
      <c r="H228" s="6">
        <v>0.25</v>
      </c>
      <c r="I228" s="6"/>
      <c r="J228" s="5">
        <v>1</v>
      </c>
      <c r="K228" s="7"/>
      <c r="L228" s="7">
        <f>((I228)+H228)*F228*G228*J228</f>
        <v>0.73750000000000004</v>
      </c>
      <c r="M228" s="188"/>
      <c r="N228" s="188"/>
      <c r="O228" s="188"/>
      <c r="P228" s="188"/>
    </row>
    <row r="229" spans="3:16" s="170" customFormat="1" x14ac:dyDescent="0.3">
      <c r="C229" s="183"/>
      <c r="D229" s="4" t="s">
        <v>234</v>
      </c>
      <c r="E229" s="135" t="s">
        <v>0</v>
      </c>
      <c r="F229" s="125">
        <v>1</v>
      </c>
      <c r="G229" s="6">
        <v>6.4</v>
      </c>
      <c r="H229" s="6">
        <v>0.35</v>
      </c>
      <c r="I229" s="6"/>
      <c r="J229" s="5">
        <v>1</v>
      </c>
      <c r="K229" s="7"/>
      <c r="L229" s="7">
        <f t="shared" si="19"/>
        <v>2.2399999999999998</v>
      </c>
      <c r="M229" s="188"/>
      <c r="N229" s="188"/>
      <c r="O229" s="188"/>
      <c r="P229" s="188"/>
    </row>
    <row r="230" spans="3:16" s="170" customFormat="1" x14ac:dyDescent="0.3">
      <c r="C230" s="183"/>
      <c r="D230" s="4" t="s">
        <v>235</v>
      </c>
      <c r="E230" s="135" t="s">
        <v>0</v>
      </c>
      <c r="F230" s="125">
        <v>1</v>
      </c>
      <c r="G230" s="6">
        <v>2.95</v>
      </c>
      <c r="H230" s="6">
        <v>0.25</v>
      </c>
      <c r="I230" s="6"/>
      <c r="J230" s="5">
        <v>1</v>
      </c>
      <c r="K230" s="7"/>
      <c r="L230" s="7">
        <f t="shared" si="19"/>
        <v>0.73750000000000004</v>
      </c>
      <c r="M230" s="188"/>
      <c r="N230" s="188"/>
      <c r="O230" s="188"/>
      <c r="P230" s="188"/>
    </row>
    <row r="231" spans="3:16" s="170" customFormat="1" x14ac:dyDescent="0.3">
      <c r="C231" s="183"/>
      <c r="D231" s="4" t="s">
        <v>236</v>
      </c>
      <c r="E231" s="135" t="s">
        <v>0</v>
      </c>
      <c r="F231" s="125">
        <v>1</v>
      </c>
      <c r="G231" s="6">
        <v>3.3</v>
      </c>
      <c r="H231" s="6"/>
      <c r="I231" s="6">
        <v>0.1</v>
      </c>
      <c r="J231" s="5">
        <v>1</v>
      </c>
      <c r="K231" s="7"/>
      <c r="L231" s="7">
        <f t="shared" si="19"/>
        <v>0.33</v>
      </c>
      <c r="M231" s="188"/>
      <c r="N231" s="188"/>
      <c r="O231" s="188"/>
      <c r="P231" s="188"/>
    </row>
    <row r="232" spans="3:16" s="170" customFormat="1" x14ac:dyDescent="0.3">
      <c r="C232" s="183"/>
      <c r="D232" s="4" t="s">
        <v>237</v>
      </c>
      <c r="E232" s="135" t="s">
        <v>0</v>
      </c>
      <c r="F232" s="125">
        <v>1</v>
      </c>
      <c r="G232" s="6">
        <v>2.95</v>
      </c>
      <c r="H232" s="6">
        <v>0.25</v>
      </c>
      <c r="I232" s="6"/>
      <c r="J232" s="5">
        <v>1</v>
      </c>
      <c r="K232" s="7"/>
      <c r="L232" s="7">
        <f t="shared" si="19"/>
        <v>0.73750000000000004</v>
      </c>
      <c r="M232" s="188"/>
      <c r="N232" s="188"/>
      <c r="O232" s="188"/>
      <c r="P232" s="188"/>
    </row>
    <row r="233" spans="3:16" s="170" customFormat="1" x14ac:dyDescent="0.3">
      <c r="C233" s="183"/>
      <c r="D233" s="134" t="s">
        <v>238</v>
      </c>
      <c r="E233" s="124" t="s">
        <v>0</v>
      </c>
      <c r="F233" s="5">
        <v>18</v>
      </c>
      <c r="G233" s="6">
        <v>0.8</v>
      </c>
      <c r="H233" s="6">
        <v>0.15</v>
      </c>
      <c r="I233" s="6"/>
      <c r="J233" s="5">
        <v>1</v>
      </c>
      <c r="K233" s="7"/>
      <c r="L233" s="7">
        <f t="shared" si="19"/>
        <v>2.1599999999999997</v>
      </c>
      <c r="M233" s="188"/>
      <c r="N233" s="188"/>
      <c r="O233" s="188"/>
      <c r="P233" s="188"/>
    </row>
    <row r="234" spans="3:16" s="170" customFormat="1" x14ac:dyDescent="0.3">
      <c r="C234" s="183"/>
      <c r="D234" s="134" t="s">
        <v>239</v>
      </c>
      <c r="E234" s="124" t="s">
        <v>0</v>
      </c>
      <c r="F234" s="5">
        <v>18</v>
      </c>
      <c r="G234" s="6">
        <v>0.5</v>
      </c>
      <c r="H234" s="6">
        <v>0.1</v>
      </c>
      <c r="I234" s="6"/>
      <c r="J234" s="5">
        <v>1</v>
      </c>
      <c r="K234" s="7"/>
      <c r="L234" s="7">
        <f t="shared" si="19"/>
        <v>0.9</v>
      </c>
      <c r="M234" s="188"/>
      <c r="N234" s="188"/>
      <c r="O234" s="188"/>
      <c r="P234" s="188"/>
    </row>
    <row r="235" spans="3:16" s="170" customFormat="1" x14ac:dyDescent="0.3">
      <c r="C235" s="181"/>
      <c r="D235" s="201"/>
      <c r="E235" s="189"/>
      <c r="F235" s="190"/>
      <c r="G235" s="191"/>
      <c r="H235" s="191"/>
      <c r="I235" s="191"/>
      <c r="J235" s="160"/>
      <c r="K235" s="180"/>
      <c r="L235" s="180"/>
      <c r="M235" s="180"/>
      <c r="N235" s="180"/>
      <c r="O235" s="180"/>
      <c r="P235" s="180"/>
    </row>
    <row r="236" spans="3:16" s="170" customFormat="1" x14ac:dyDescent="0.3">
      <c r="C236" s="181"/>
      <c r="D236" s="201" t="s">
        <v>68</v>
      </c>
      <c r="E236" s="189"/>
      <c r="F236" s="190"/>
      <c r="G236" s="191"/>
      <c r="H236" s="191"/>
      <c r="I236" s="191"/>
      <c r="J236" s="160"/>
      <c r="K236" s="180"/>
      <c r="L236" s="180"/>
      <c r="M236" s="180"/>
      <c r="N236" s="180"/>
      <c r="O236" s="180"/>
      <c r="P236" s="180"/>
    </row>
    <row r="237" spans="3:16" s="170" customFormat="1" x14ac:dyDescent="0.3">
      <c r="C237" s="183"/>
      <c r="D237" s="4" t="s">
        <v>221</v>
      </c>
      <c r="E237" s="135" t="s">
        <v>0</v>
      </c>
      <c r="F237" s="125">
        <v>6</v>
      </c>
      <c r="G237" s="6">
        <v>3.65</v>
      </c>
      <c r="H237" s="6">
        <v>0.35</v>
      </c>
      <c r="I237" s="6"/>
      <c r="J237" s="5">
        <v>1</v>
      </c>
      <c r="K237" s="7"/>
      <c r="L237" s="7">
        <f>((I237)+H237)*F237*G237*J237</f>
        <v>7.6649999999999983</v>
      </c>
      <c r="M237" s="188"/>
      <c r="N237" s="188"/>
      <c r="O237" s="188"/>
      <c r="P237" s="188"/>
    </row>
    <row r="238" spans="3:16" s="170" customFormat="1" x14ac:dyDescent="0.3">
      <c r="C238" s="183"/>
      <c r="D238" s="4" t="s">
        <v>222</v>
      </c>
      <c r="E238" s="135" t="s">
        <v>0</v>
      </c>
      <c r="F238" s="125">
        <v>6</v>
      </c>
      <c r="G238" s="6">
        <v>3.65</v>
      </c>
      <c r="H238" s="6">
        <v>0.1</v>
      </c>
      <c r="I238" s="6"/>
      <c r="J238" s="5">
        <v>1</v>
      </c>
      <c r="K238" s="7"/>
      <c r="L238" s="7">
        <f t="shared" ref="L238:L255" si="20">((I238)+H238)*F238*G238*J238</f>
        <v>2.1900000000000004</v>
      </c>
      <c r="M238" s="188"/>
      <c r="N238" s="188"/>
      <c r="O238" s="188"/>
      <c r="P238" s="188"/>
    </row>
    <row r="239" spans="3:16" s="170" customFormat="1" x14ac:dyDescent="0.3">
      <c r="C239" s="183"/>
      <c r="D239" s="4" t="s">
        <v>223</v>
      </c>
      <c r="E239" s="135" t="s">
        <v>0</v>
      </c>
      <c r="F239" s="125">
        <v>12</v>
      </c>
      <c r="G239" s="6">
        <v>2.14</v>
      </c>
      <c r="H239" s="6">
        <v>0.35</v>
      </c>
      <c r="I239" s="6"/>
      <c r="J239" s="5">
        <v>1</v>
      </c>
      <c r="K239" s="7"/>
      <c r="L239" s="7">
        <f t="shared" si="20"/>
        <v>8.9879999999999995</v>
      </c>
      <c r="M239" s="188"/>
      <c r="N239" s="188"/>
      <c r="O239" s="188"/>
      <c r="P239" s="188"/>
    </row>
    <row r="240" spans="3:16" s="170" customFormat="1" x14ac:dyDescent="0.3">
      <c r="C240" s="183"/>
      <c r="D240" s="4" t="s">
        <v>224</v>
      </c>
      <c r="E240" s="135" t="s">
        <v>0</v>
      </c>
      <c r="F240" s="125">
        <v>1</v>
      </c>
      <c r="G240" s="6">
        <v>3.3</v>
      </c>
      <c r="H240" s="6"/>
      <c r="I240" s="6">
        <v>0.1</v>
      </c>
      <c r="J240" s="5">
        <v>1</v>
      </c>
      <c r="K240" s="7"/>
      <c r="L240" s="7">
        <f t="shared" si="20"/>
        <v>0.33</v>
      </c>
      <c r="M240" s="188"/>
      <c r="N240" s="188"/>
      <c r="O240" s="188"/>
      <c r="P240" s="188"/>
    </row>
    <row r="241" spans="3:16" s="170" customFormat="1" x14ac:dyDescent="0.3">
      <c r="C241" s="183"/>
      <c r="D241" s="4" t="s">
        <v>225</v>
      </c>
      <c r="E241" s="135" t="s">
        <v>0</v>
      </c>
      <c r="F241" s="125">
        <v>1</v>
      </c>
      <c r="G241" s="6">
        <v>2.95</v>
      </c>
      <c r="H241" s="6">
        <v>0.25</v>
      </c>
      <c r="I241" s="6"/>
      <c r="J241" s="5">
        <v>1</v>
      </c>
      <c r="K241" s="7"/>
      <c r="L241" s="7">
        <f t="shared" si="20"/>
        <v>0.73750000000000004</v>
      </c>
      <c r="M241" s="188"/>
      <c r="N241" s="188"/>
      <c r="O241" s="188"/>
      <c r="P241" s="188"/>
    </row>
    <row r="242" spans="3:16" s="170" customFormat="1" x14ac:dyDescent="0.3">
      <c r="C242" s="183"/>
      <c r="D242" s="4" t="s">
        <v>226</v>
      </c>
      <c r="E242" s="135" t="s">
        <v>0</v>
      </c>
      <c r="F242" s="125">
        <v>1</v>
      </c>
      <c r="G242" s="6">
        <v>6.4</v>
      </c>
      <c r="H242" s="6">
        <v>0.6</v>
      </c>
      <c r="I242" s="6"/>
      <c r="J242" s="5">
        <v>1</v>
      </c>
      <c r="K242" s="7"/>
      <c r="L242" s="7">
        <f t="shared" si="20"/>
        <v>3.84</v>
      </c>
      <c r="M242" s="188"/>
      <c r="N242" s="188"/>
      <c r="O242" s="188"/>
      <c r="P242" s="188"/>
    </row>
    <row r="243" spans="3:16" s="170" customFormat="1" x14ac:dyDescent="0.3">
      <c r="C243" s="183"/>
      <c r="D243" s="4" t="s">
        <v>227</v>
      </c>
      <c r="E243" s="135" t="s">
        <v>0</v>
      </c>
      <c r="F243" s="125">
        <v>1</v>
      </c>
      <c r="G243" s="6">
        <v>2.95</v>
      </c>
      <c r="H243" s="6">
        <v>0.25</v>
      </c>
      <c r="I243" s="6"/>
      <c r="J243" s="5">
        <v>1</v>
      </c>
      <c r="K243" s="7"/>
      <c r="L243" s="7">
        <f t="shared" si="20"/>
        <v>0.73750000000000004</v>
      </c>
      <c r="M243" s="188"/>
      <c r="N243" s="188"/>
      <c r="O243" s="188"/>
      <c r="P243" s="188"/>
    </row>
    <row r="244" spans="3:16" s="170" customFormat="1" x14ac:dyDescent="0.3">
      <c r="C244" s="183"/>
      <c r="D244" s="4" t="s">
        <v>228</v>
      </c>
      <c r="E244" s="135" t="s">
        <v>0</v>
      </c>
      <c r="F244" s="125">
        <v>1</v>
      </c>
      <c r="G244" s="6">
        <v>6.4</v>
      </c>
      <c r="H244" s="6">
        <f>0.1*2</f>
        <v>0.2</v>
      </c>
      <c r="I244" s="6"/>
      <c r="J244" s="5">
        <v>1</v>
      </c>
      <c r="K244" s="7"/>
      <c r="L244" s="7">
        <f t="shared" si="20"/>
        <v>1.2800000000000002</v>
      </c>
      <c r="M244" s="188"/>
      <c r="N244" s="188"/>
      <c r="O244" s="188"/>
      <c r="P244" s="188"/>
    </row>
    <row r="245" spans="3:16" s="170" customFormat="1" x14ac:dyDescent="0.3">
      <c r="C245" s="183"/>
      <c r="D245" s="4" t="s">
        <v>229</v>
      </c>
      <c r="E245" s="135" t="s">
        <v>0</v>
      </c>
      <c r="F245" s="125">
        <v>1</v>
      </c>
      <c r="G245" s="6">
        <v>2.95</v>
      </c>
      <c r="H245" s="6">
        <v>0.25</v>
      </c>
      <c r="I245" s="6"/>
      <c r="J245" s="5">
        <v>1</v>
      </c>
      <c r="K245" s="7"/>
      <c r="L245" s="7">
        <f t="shared" si="20"/>
        <v>0.73750000000000004</v>
      </c>
      <c r="M245" s="188"/>
      <c r="N245" s="188"/>
      <c r="O245" s="188"/>
      <c r="P245" s="188"/>
    </row>
    <row r="246" spans="3:16" s="170" customFormat="1" x14ac:dyDescent="0.3">
      <c r="C246" s="183"/>
      <c r="D246" s="4" t="s">
        <v>230</v>
      </c>
      <c r="E246" s="135" t="s">
        <v>0</v>
      </c>
      <c r="F246" s="125">
        <v>1</v>
      </c>
      <c r="G246" s="6">
        <v>3</v>
      </c>
      <c r="H246" s="6"/>
      <c r="I246" s="6">
        <f>0.1*2</f>
        <v>0.2</v>
      </c>
      <c r="J246" s="5">
        <v>1</v>
      </c>
      <c r="K246" s="7"/>
      <c r="L246" s="7">
        <f t="shared" si="20"/>
        <v>0.60000000000000009</v>
      </c>
      <c r="M246" s="188"/>
      <c r="N246" s="188"/>
      <c r="O246" s="188"/>
      <c r="P246" s="188"/>
    </row>
    <row r="247" spans="3:16" s="170" customFormat="1" x14ac:dyDescent="0.3">
      <c r="C247" s="183"/>
      <c r="D247" s="4" t="s">
        <v>231</v>
      </c>
      <c r="E247" s="135" t="s">
        <v>0</v>
      </c>
      <c r="F247" s="125">
        <v>1</v>
      </c>
      <c r="G247" s="6">
        <v>2.95</v>
      </c>
      <c r="H247" s="6"/>
      <c r="I247" s="6">
        <v>0.25</v>
      </c>
      <c r="J247" s="5">
        <v>1</v>
      </c>
      <c r="K247" s="7"/>
      <c r="L247" s="7">
        <f t="shared" si="20"/>
        <v>0.73750000000000004</v>
      </c>
      <c r="M247" s="188"/>
      <c r="N247" s="188"/>
      <c r="O247" s="188"/>
      <c r="P247" s="188"/>
    </row>
    <row r="248" spans="3:16" s="170" customFormat="1" x14ac:dyDescent="0.3">
      <c r="C248" s="183"/>
      <c r="D248" s="4" t="s">
        <v>232</v>
      </c>
      <c r="E248" s="135" t="s">
        <v>0</v>
      </c>
      <c r="F248" s="125">
        <v>1</v>
      </c>
      <c r="G248" s="6">
        <v>6.4</v>
      </c>
      <c r="H248" s="6">
        <v>0.6</v>
      </c>
      <c r="I248" s="6"/>
      <c r="J248" s="5">
        <v>1</v>
      </c>
      <c r="K248" s="7"/>
      <c r="L248" s="7">
        <f t="shared" si="20"/>
        <v>3.84</v>
      </c>
      <c r="M248" s="188"/>
      <c r="N248" s="188"/>
      <c r="O248" s="188"/>
      <c r="P248" s="188"/>
    </row>
    <row r="249" spans="3:16" s="170" customFormat="1" x14ac:dyDescent="0.3">
      <c r="C249" s="183"/>
      <c r="D249" s="4" t="s">
        <v>233</v>
      </c>
      <c r="E249" s="135" t="s">
        <v>0</v>
      </c>
      <c r="F249" s="125">
        <v>1</v>
      </c>
      <c r="G249" s="6">
        <v>2.95</v>
      </c>
      <c r="H249" s="6">
        <v>0.25</v>
      </c>
      <c r="I249" s="6"/>
      <c r="J249" s="5">
        <v>1</v>
      </c>
      <c r="K249" s="7"/>
      <c r="L249" s="7">
        <f t="shared" si="20"/>
        <v>0.73750000000000004</v>
      </c>
      <c r="M249" s="188"/>
      <c r="N249" s="188"/>
      <c r="O249" s="188"/>
      <c r="P249" s="188"/>
    </row>
    <row r="250" spans="3:16" s="170" customFormat="1" x14ac:dyDescent="0.3">
      <c r="C250" s="183"/>
      <c r="D250" s="4" t="s">
        <v>234</v>
      </c>
      <c r="E250" s="135" t="s">
        <v>0</v>
      </c>
      <c r="F250" s="125">
        <v>1</v>
      </c>
      <c r="G250" s="6">
        <v>6.4</v>
      </c>
      <c r="H250" s="6">
        <f>0.1*2</f>
        <v>0.2</v>
      </c>
      <c r="I250" s="6"/>
      <c r="J250" s="5">
        <v>1</v>
      </c>
      <c r="K250" s="7"/>
      <c r="L250" s="7">
        <f t="shared" si="20"/>
        <v>1.2800000000000002</v>
      </c>
      <c r="M250" s="188"/>
      <c r="N250" s="188"/>
      <c r="O250" s="188"/>
      <c r="P250" s="188"/>
    </row>
    <row r="251" spans="3:16" s="170" customFormat="1" x14ac:dyDescent="0.3">
      <c r="C251" s="183"/>
      <c r="D251" s="4" t="s">
        <v>235</v>
      </c>
      <c r="E251" s="135" t="s">
        <v>0</v>
      </c>
      <c r="F251" s="125">
        <v>1</v>
      </c>
      <c r="G251" s="6">
        <v>2.95</v>
      </c>
      <c r="H251" s="6">
        <v>0.25</v>
      </c>
      <c r="I251" s="6"/>
      <c r="J251" s="5">
        <v>1</v>
      </c>
      <c r="K251" s="7"/>
      <c r="L251" s="7">
        <f t="shared" si="20"/>
        <v>0.73750000000000004</v>
      </c>
      <c r="M251" s="188"/>
      <c r="N251" s="188"/>
      <c r="O251" s="188"/>
      <c r="P251" s="188"/>
    </row>
    <row r="252" spans="3:16" s="170" customFormat="1" x14ac:dyDescent="0.3">
      <c r="C252" s="183"/>
      <c r="D252" s="4" t="s">
        <v>236</v>
      </c>
      <c r="E252" s="135" t="s">
        <v>0</v>
      </c>
      <c r="F252" s="125">
        <v>1</v>
      </c>
      <c r="G252" s="6">
        <v>3.3</v>
      </c>
      <c r="H252" s="6"/>
      <c r="I252" s="6">
        <v>0.1</v>
      </c>
      <c r="J252" s="5">
        <v>1</v>
      </c>
      <c r="K252" s="7"/>
      <c r="L252" s="7">
        <f t="shared" si="20"/>
        <v>0.33</v>
      </c>
      <c r="M252" s="188"/>
      <c r="N252" s="188"/>
      <c r="O252" s="188"/>
      <c r="P252" s="188"/>
    </row>
    <row r="253" spans="3:16" s="170" customFormat="1" x14ac:dyDescent="0.3">
      <c r="C253" s="183"/>
      <c r="D253" s="4" t="s">
        <v>237</v>
      </c>
      <c r="E253" s="135" t="s">
        <v>0</v>
      </c>
      <c r="F253" s="125">
        <v>1</v>
      </c>
      <c r="G253" s="6">
        <v>2.95</v>
      </c>
      <c r="H253" s="6">
        <v>0.25</v>
      </c>
      <c r="I253" s="6"/>
      <c r="J253" s="5">
        <v>1</v>
      </c>
      <c r="K253" s="7"/>
      <c r="L253" s="7">
        <f t="shared" si="20"/>
        <v>0.73750000000000004</v>
      </c>
      <c r="M253" s="188"/>
      <c r="N253" s="188"/>
      <c r="O253" s="188"/>
      <c r="P253" s="188"/>
    </row>
    <row r="254" spans="3:16" s="170" customFormat="1" x14ac:dyDescent="0.3">
      <c r="C254" s="183"/>
      <c r="D254" s="134" t="s">
        <v>238</v>
      </c>
      <c r="E254" s="124" t="s">
        <v>0</v>
      </c>
      <c r="F254" s="5">
        <v>18</v>
      </c>
      <c r="G254" s="6">
        <v>0.8</v>
      </c>
      <c r="H254" s="6">
        <v>0.15</v>
      </c>
      <c r="I254" s="6"/>
      <c r="J254" s="5">
        <v>1</v>
      </c>
      <c r="K254" s="7"/>
      <c r="L254" s="7">
        <f t="shared" si="20"/>
        <v>2.1599999999999997</v>
      </c>
      <c r="M254" s="188"/>
      <c r="N254" s="188"/>
      <c r="O254" s="188"/>
      <c r="P254" s="188"/>
    </row>
    <row r="255" spans="3:16" s="170" customFormat="1" x14ac:dyDescent="0.3">
      <c r="C255" s="183"/>
      <c r="D255" s="134" t="s">
        <v>239</v>
      </c>
      <c r="E255" s="124" t="s">
        <v>0</v>
      </c>
      <c r="F255" s="5">
        <v>18</v>
      </c>
      <c r="G255" s="6">
        <v>0.5</v>
      </c>
      <c r="H255" s="6">
        <v>0.1</v>
      </c>
      <c r="I255" s="6"/>
      <c r="J255" s="5">
        <v>1</v>
      </c>
      <c r="K255" s="7"/>
      <c r="L255" s="7">
        <f t="shared" si="20"/>
        <v>0.9</v>
      </c>
      <c r="M255" s="188"/>
      <c r="N255" s="188"/>
      <c r="O255" s="188"/>
      <c r="P255" s="188"/>
    </row>
    <row r="256" spans="3:16" s="170" customFormat="1" x14ac:dyDescent="0.3">
      <c r="C256" s="181"/>
      <c r="D256" s="201"/>
      <c r="E256" s="189"/>
      <c r="F256" s="190"/>
      <c r="G256" s="191"/>
      <c r="H256" s="191"/>
      <c r="I256" s="191"/>
      <c r="J256" s="160"/>
      <c r="K256" s="180"/>
      <c r="L256" s="180"/>
      <c r="M256" s="180"/>
      <c r="N256" s="180"/>
      <c r="O256" s="180"/>
      <c r="P256" s="180"/>
    </row>
    <row r="257" spans="3:16" s="170" customFormat="1" x14ac:dyDescent="0.3">
      <c r="C257" s="181"/>
      <c r="D257" s="201" t="s">
        <v>106</v>
      </c>
      <c r="E257" s="189"/>
      <c r="F257" s="190"/>
      <c r="G257" s="191"/>
      <c r="H257" s="191"/>
      <c r="I257" s="191"/>
      <c r="J257" s="160"/>
      <c r="K257" s="180"/>
      <c r="L257" s="180"/>
      <c r="M257" s="180"/>
      <c r="N257" s="180"/>
      <c r="O257" s="180"/>
      <c r="P257" s="180"/>
    </row>
    <row r="258" spans="3:16" s="170" customFormat="1" x14ac:dyDescent="0.3">
      <c r="C258" s="181"/>
      <c r="D258" s="4" t="s">
        <v>240</v>
      </c>
      <c r="E258" s="135" t="s">
        <v>0</v>
      </c>
      <c r="F258" s="125">
        <v>6</v>
      </c>
      <c r="G258" s="6">
        <v>4.5</v>
      </c>
      <c r="H258" s="6">
        <v>0.25</v>
      </c>
      <c r="I258" s="6"/>
      <c r="J258" s="5">
        <v>1</v>
      </c>
      <c r="K258" s="7"/>
      <c r="L258" s="7">
        <f t="shared" ref="L258:L284" si="21">((I258)+H258)*F258*G258*J258</f>
        <v>6.75</v>
      </c>
      <c r="M258" s="180"/>
      <c r="N258" s="180"/>
      <c r="O258" s="180"/>
      <c r="P258" s="180"/>
    </row>
    <row r="259" spans="3:16" s="170" customFormat="1" x14ac:dyDescent="0.3">
      <c r="C259" s="183"/>
      <c r="D259" s="4" t="s">
        <v>221</v>
      </c>
      <c r="E259" s="135" t="s">
        <v>0</v>
      </c>
      <c r="F259" s="125">
        <v>6</v>
      </c>
      <c r="G259" s="6">
        <v>3.65</v>
      </c>
      <c r="H259" s="6">
        <v>0.35</v>
      </c>
      <c r="I259" s="6">
        <v>0.35</v>
      </c>
      <c r="J259" s="5">
        <v>1</v>
      </c>
      <c r="K259" s="7"/>
      <c r="L259" s="7">
        <f t="shared" si="21"/>
        <v>15.329999999999997</v>
      </c>
      <c r="M259" s="188"/>
      <c r="N259" s="188"/>
      <c r="O259" s="188"/>
      <c r="P259" s="188"/>
    </row>
    <row r="260" spans="3:16" s="170" customFormat="1" x14ac:dyDescent="0.3">
      <c r="C260" s="183"/>
      <c r="D260" s="4"/>
      <c r="E260" s="135" t="s">
        <v>0</v>
      </c>
      <c r="F260" s="125">
        <v>6</v>
      </c>
      <c r="G260" s="6">
        <v>3.65</v>
      </c>
      <c r="H260" s="6"/>
      <c r="I260" s="6">
        <v>0.18</v>
      </c>
      <c r="J260" s="5">
        <v>1</v>
      </c>
      <c r="K260" s="7"/>
      <c r="L260" s="7">
        <f t="shared" si="21"/>
        <v>3.9420000000000002</v>
      </c>
      <c r="M260" s="188"/>
      <c r="N260" s="188"/>
      <c r="O260" s="188"/>
      <c r="P260" s="188"/>
    </row>
    <row r="261" spans="3:16" s="170" customFormat="1" x14ac:dyDescent="0.3">
      <c r="C261" s="183"/>
      <c r="D261" s="4" t="s">
        <v>222</v>
      </c>
      <c r="E261" s="135" t="s">
        <v>0</v>
      </c>
      <c r="F261" s="125">
        <v>6</v>
      </c>
      <c r="G261" s="6">
        <v>3.65</v>
      </c>
      <c r="H261" s="6">
        <v>0.2</v>
      </c>
      <c r="I261" s="6">
        <v>0.35</v>
      </c>
      <c r="J261" s="5">
        <v>1</v>
      </c>
      <c r="K261" s="7"/>
      <c r="L261" s="7">
        <f t="shared" si="21"/>
        <v>12.045</v>
      </c>
      <c r="M261" s="188"/>
      <c r="N261" s="188"/>
      <c r="O261" s="188"/>
      <c r="P261" s="188"/>
    </row>
    <row r="262" spans="3:16" s="170" customFormat="1" x14ac:dyDescent="0.3">
      <c r="C262" s="183"/>
      <c r="D262" s="4"/>
      <c r="E262" s="135" t="s">
        <v>0</v>
      </c>
      <c r="F262" s="125">
        <v>6</v>
      </c>
      <c r="G262" s="6">
        <v>3.65</v>
      </c>
      <c r="H262" s="6"/>
      <c r="I262" s="6">
        <v>0.35</v>
      </c>
      <c r="J262" s="5">
        <v>1</v>
      </c>
      <c r="K262" s="7"/>
      <c r="L262" s="7">
        <f t="shared" si="21"/>
        <v>7.6649999999999983</v>
      </c>
      <c r="M262" s="188"/>
      <c r="N262" s="188"/>
      <c r="O262" s="188"/>
      <c r="P262" s="188"/>
    </row>
    <row r="263" spans="3:16" s="170" customFormat="1" x14ac:dyDescent="0.3">
      <c r="C263" s="183"/>
      <c r="D263" s="4" t="s">
        <v>223</v>
      </c>
      <c r="E263" s="135" t="s">
        <v>0</v>
      </c>
      <c r="F263" s="125">
        <v>12</v>
      </c>
      <c r="G263" s="6">
        <v>2.14</v>
      </c>
      <c r="H263" s="6"/>
      <c r="I263" s="6">
        <v>0.35</v>
      </c>
      <c r="J263" s="5">
        <v>1</v>
      </c>
      <c r="K263" s="7"/>
      <c r="L263" s="7">
        <f>((I263)+H263)*F263*G263*J263</f>
        <v>8.9879999999999995</v>
      </c>
      <c r="M263" s="188"/>
      <c r="N263" s="188"/>
      <c r="O263" s="188"/>
      <c r="P263" s="188"/>
    </row>
    <row r="264" spans="3:16" s="170" customFormat="1" x14ac:dyDescent="0.3">
      <c r="C264" s="183"/>
      <c r="D264" s="4" t="s">
        <v>241</v>
      </c>
      <c r="E264" s="135" t="s">
        <v>0</v>
      </c>
      <c r="F264" s="125">
        <v>1</v>
      </c>
      <c r="G264" s="6">
        <v>1.2</v>
      </c>
      <c r="H264" s="6">
        <v>0.25</v>
      </c>
      <c r="I264" s="6"/>
      <c r="J264" s="5">
        <v>1</v>
      </c>
      <c r="K264" s="7"/>
      <c r="L264" s="7">
        <f t="shared" si="21"/>
        <v>0.3</v>
      </c>
      <c r="M264" s="188"/>
      <c r="N264" s="188"/>
      <c r="O264" s="188"/>
      <c r="P264" s="188"/>
    </row>
    <row r="265" spans="3:16" s="170" customFormat="1" x14ac:dyDescent="0.3">
      <c r="C265" s="183"/>
      <c r="D265" s="4" t="s">
        <v>242</v>
      </c>
      <c r="E265" s="135" t="s">
        <v>0</v>
      </c>
      <c r="F265" s="125">
        <v>1</v>
      </c>
      <c r="G265" s="6">
        <v>3.3</v>
      </c>
      <c r="H265" s="6"/>
      <c r="I265" s="6">
        <v>0.1</v>
      </c>
      <c r="J265" s="5">
        <v>1</v>
      </c>
      <c r="K265" s="7"/>
      <c r="L265" s="7">
        <f t="shared" si="21"/>
        <v>0.33</v>
      </c>
      <c r="M265" s="188"/>
      <c r="N265" s="188"/>
      <c r="O265" s="188"/>
      <c r="P265" s="188"/>
    </row>
    <row r="266" spans="3:16" s="170" customFormat="1" x14ac:dyDescent="0.3">
      <c r="C266" s="183"/>
      <c r="D266" s="4" t="s">
        <v>243</v>
      </c>
      <c r="E266" s="135" t="s">
        <v>0</v>
      </c>
      <c r="F266" s="125">
        <v>1</v>
      </c>
      <c r="G266" s="6">
        <v>2.95</v>
      </c>
      <c r="H266" s="6">
        <v>0.25</v>
      </c>
      <c r="I266" s="6"/>
      <c r="J266" s="5">
        <v>1</v>
      </c>
      <c r="K266" s="7"/>
      <c r="L266" s="7">
        <f t="shared" si="21"/>
        <v>0.73750000000000004</v>
      </c>
      <c r="M266" s="188"/>
      <c r="N266" s="188"/>
      <c r="O266" s="188"/>
      <c r="P266" s="188"/>
    </row>
    <row r="267" spans="3:16" s="170" customFormat="1" x14ac:dyDescent="0.3">
      <c r="C267" s="183"/>
      <c r="D267" s="4" t="s">
        <v>244</v>
      </c>
      <c r="E267" s="135" t="s">
        <v>0</v>
      </c>
      <c r="F267" s="125">
        <v>1</v>
      </c>
      <c r="G267" s="6">
        <v>1.2</v>
      </c>
      <c r="H267" s="6">
        <v>0.25</v>
      </c>
      <c r="I267" s="6"/>
      <c r="J267" s="5">
        <v>1</v>
      </c>
      <c r="K267" s="7"/>
      <c r="L267" s="7">
        <f t="shared" si="21"/>
        <v>0.3</v>
      </c>
      <c r="M267" s="188"/>
      <c r="N267" s="188"/>
      <c r="O267" s="188"/>
      <c r="P267" s="188"/>
    </row>
    <row r="268" spans="3:16" s="170" customFormat="1" x14ac:dyDescent="0.3">
      <c r="C268" s="183"/>
      <c r="D268" s="4" t="s">
        <v>245</v>
      </c>
      <c r="E268" s="135" t="s">
        <v>0</v>
      </c>
      <c r="F268" s="125">
        <v>1</v>
      </c>
      <c r="G268" s="6">
        <v>6.4</v>
      </c>
      <c r="H268" s="6">
        <v>0.3</v>
      </c>
      <c r="I268" s="6"/>
      <c r="J268" s="5">
        <v>1</v>
      </c>
      <c r="K268" s="7"/>
      <c r="L268" s="7">
        <f t="shared" si="21"/>
        <v>1.92</v>
      </c>
      <c r="M268" s="188"/>
      <c r="N268" s="188"/>
      <c r="O268" s="188"/>
      <c r="P268" s="188"/>
    </row>
    <row r="269" spans="3:16" s="170" customFormat="1" x14ac:dyDescent="0.3">
      <c r="C269" s="183"/>
      <c r="D269" s="4" t="s">
        <v>246</v>
      </c>
      <c r="E269" s="135" t="s">
        <v>0</v>
      </c>
      <c r="F269" s="125">
        <v>1</v>
      </c>
      <c r="G269" s="6">
        <v>2.95</v>
      </c>
      <c r="H269" s="6">
        <v>0.3</v>
      </c>
      <c r="I269" s="6"/>
      <c r="J269" s="5">
        <v>1</v>
      </c>
      <c r="K269" s="7"/>
      <c r="L269" s="7">
        <f t="shared" si="21"/>
        <v>0.88500000000000001</v>
      </c>
      <c r="M269" s="188"/>
      <c r="N269" s="188"/>
      <c r="O269" s="188"/>
      <c r="P269" s="188"/>
    </row>
    <row r="270" spans="3:16" s="170" customFormat="1" x14ac:dyDescent="0.3">
      <c r="C270" s="183"/>
      <c r="D270" s="4" t="s">
        <v>247</v>
      </c>
      <c r="E270" s="135" t="s">
        <v>0</v>
      </c>
      <c r="F270" s="125">
        <v>1</v>
      </c>
      <c r="G270" s="6">
        <v>1.2</v>
      </c>
      <c r="H270" s="6">
        <v>0.25</v>
      </c>
      <c r="I270" s="6"/>
      <c r="J270" s="5">
        <v>1</v>
      </c>
      <c r="K270" s="7"/>
      <c r="L270" s="7">
        <f t="shared" si="21"/>
        <v>0.3</v>
      </c>
      <c r="M270" s="188"/>
      <c r="N270" s="188"/>
      <c r="O270" s="188"/>
      <c r="P270" s="188"/>
    </row>
    <row r="271" spans="3:16" s="170" customFormat="1" x14ac:dyDescent="0.3">
      <c r="C271" s="183"/>
      <c r="D271" s="4" t="s">
        <v>248</v>
      </c>
      <c r="E271" s="135" t="s">
        <v>0</v>
      </c>
      <c r="F271" s="125">
        <v>1</v>
      </c>
      <c r="G271" s="6">
        <v>6.4</v>
      </c>
      <c r="H271" s="6">
        <v>0.3</v>
      </c>
      <c r="I271" s="6"/>
      <c r="J271" s="5">
        <v>1</v>
      </c>
      <c r="K271" s="7"/>
      <c r="L271" s="7">
        <f t="shared" si="21"/>
        <v>1.92</v>
      </c>
      <c r="M271" s="188"/>
      <c r="N271" s="188"/>
      <c r="O271" s="188"/>
      <c r="P271" s="188"/>
    </row>
    <row r="272" spans="3:16" s="170" customFormat="1" x14ac:dyDescent="0.3">
      <c r="C272" s="183"/>
      <c r="D272" s="4" t="s">
        <v>249</v>
      </c>
      <c r="E272" s="135" t="s">
        <v>0</v>
      </c>
      <c r="F272" s="125">
        <v>1</v>
      </c>
      <c r="G272" s="6">
        <v>2.95</v>
      </c>
      <c r="H272" s="6">
        <v>0.3</v>
      </c>
      <c r="I272" s="6"/>
      <c r="J272" s="5">
        <v>1</v>
      </c>
      <c r="K272" s="7"/>
      <c r="L272" s="7">
        <f t="shared" si="21"/>
        <v>0.88500000000000001</v>
      </c>
      <c r="M272" s="188"/>
      <c r="N272" s="188"/>
      <c r="O272" s="188"/>
      <c r="P272" s="188"/>
    </row>
    <row r="273" spans="3:16" s="170" customFormat="1" x14ac:dyDescent="0.3">
      <c r="C273" s="183"/>
      <c r="D273" s="4" t="s">
        <v>250</v>
      </c>
      <c r="E273" s="135" t="s">
        <v>0</v>
      </c>
      <c r="F273" s="125">
        <v>1</v>
      </c>
      <c r="G273" s="6">
        <v>1.2</v>
      </c>
      <c r="H273" s="6">
        <v>0.25</v>
      </c>
      <c r="I273" s="6"/>
      <c r="J273" s="5">
        <v>1</v>
      </c>
      <c r="K273" s="7"/>
      <c r="L273" s="7">
        <f t="shared" si="21"/>
        <v>0.3</v>
      </c>
      <c r="M273" s="188"/>
      <c r="N273" s="188"/>
      <c r="O273" s="188"/>
      <c r="P273" s="188"/>
    </row>
    <row r="274" spans="3:16" s="170" customFormat="1" x14ac:dyDescent="0.3">
      <c r="C274" s="183"/>
      <c r="D274" s="4" t="s">
        <v>251</v>
      </c>
      <c r="E274" s="135" t="s">
        <v>0</v>
      </c>
      <c r="F274" s="125">
        <v>1</v>
      </c>
      <c r="G274" s="6">
        <v>3</v>
      </c>
      <c r="H274" s="6">
        <v>0.3</v>
      </c>
      <c r="I274" s="6">
        <f>0.1*2</f>
        <v>0.2</v>
      </c>
      <c r="J274" s="5">
        <v>1</v>
      </c>
      <c r="K274" s="7"/>
      <c r="L274" s="7">
        <f t="shared" si="21"/>
        <v>1.5</v>
      </c>
      <c r="M274" s="188"/>
      <c r="N274" s="188"/>
      <c r="O274" s="188"/>
      <c r="P274" s="188"/>
    </row>
    <row r="275" spans="3:16" s="170" customFormat="1" x14ac:dyDescent="0.3">
      <c r="C275" s="183"/>
      <c r="D275" s="4" t="s">
        <v>252</v>
      </c>
      <c r="E275" s="135" t="s">
        <v>0</v>
      </c>
      <c r="F275" s="125">
        <v>1</v>
      </c>
      <c r="G275" s="6">
        <v>2.95</v>
      </c>
      <c r="H275" s="6">
        <v>0.3</v>
      </c>
      <c r="I275" s="6"/>
      <c r="J275" s="5">
        <v>1</v>
      </c>
      <c r="K275" s="7"/>
      <c r="L275" s="7">
        <f t="shared" si="21"/>
        <v>0.88500000000000001</v>
      </c>
      <c r="M275" s="188"/>
      <c r="N275" s="188"/>
      <c r="O275" s="188"/>
      <c r="P275" s="188"/>
    </row>
    <row r="276" spans="3:16" s="170" customFormat="1" x14ac:dyDescent="0.3">
      <c r="C276" s="183"/>
      <c r="D276" s="4" t="s">
        <v>253</v>
      </c>
      <c r="E276" s="135" t="s">
        <v>0</v>
      </c>
      <c r="F276" s="125">
        <v>1</v>
      </c>
      <c r="G276" s="6">
        <v>1.2</v>
      </c>
      <c r="H276" s="6">
        <v>0.25</v>
      </c>
      <c r="I276" s="6"/>
      <c r="J276" s="5">
        <v>1</v>
      </c>
      <c r="K276" s="7"/>
      <c r="L276" s="7">
        <f t="shared" si="21"/>
        <v>0.3</v>
      </c>
      <c r="M276" s="188"/>
      <c r="N276" s="188"/>
      <c r="O276" s="188"/>
      <c r="P276" s="188"/>
    </row>
    <row r="277" spans="3:16" s="170" customFormat="1" x14ac:dyDescent="0.3">
      <c r="C277" s="183"/>
      <c r="D277" s="4" t="s">
        <v>254</v>
      </c>
      <c r="E277" s="135" t="s">
        <v>0</v>
      </c>
      <c r="F277" s="125">
        <v>1</v>
      </c>
      <c r="G277" s="6">
        <v>6.4</v>
      </c>
      <c r="H277" s="6">
        <v>0.3</v>
      </c>
      <c r="I277" s="6"/>
      <c r="J277" s="5">
        <v>1</v>
      </c>
      <c r="K277" s="7"/>
      <c r="L277" s="7">
        <f t="shared" si="21"/>
        <v>1.92</v>
      </c>
      <c r="M277" s="188"/>
      <c r="N277" s="188"/>
      <c r="O277" s="188"/>
      <c r="P277" s="188"/>
    </row>
    <row r="278" spans="3:16" s="170" customFormat="1" x14ac:dyDescent="0.3">
      <c r="C278" s="183"/>
      <c r="D278" s="4" t="s">
        <v>255</v>
      </c>
      <c r="E278" s="135" t="s">
        <v>0</v>
      </c>
      <c r="F278" s="125">
        <v>1</v>
      </c>
      <c r="G278" s="6">
        <v>2.95</v>
      </c>
      <c r="H278" s="6">
        <v>0.3</v>
      </c>
      <c r="I278" s="6"/>
      <c r="J278" s="5">
        <v>1</v>
      </c>
      <c r="K278" s="7"/>
      <c r="L278" s="7">
        <f t="shared" si="21"/>
        <v>0.88500000000000001</v>
      </c>
      <c r="M278" s="188"/>
      <c r="N278" s="188"/>
      <c r="O278" s="188"/>
      <c r="P278" s="188"/>
    </row>
    <row r="279" spans="3:16" s="170" customFormat="1" x14ac:dyDescent="0.3">
      <c r="C279" s="183"/>
      <c r="D279" s="4" t="s">
        <v>256</v>
      </c>
      <c r="E279" s="135" t="s">
        <v>0</v>
      </c>
      <c r="F279" s="125">
        <v>1</v>
      </c>
      <c r="G279" s="6">
        <v>1.2</v>
      </c>
      <c r="H279" s="6">
        <v>0.25</v>
      </c>
      <c r="I279" s="6"/>
      <c r="J279" s="5">
        <v>1</v>
      </c>
      <c r="K279" s="7"/>
      <c r="L279" s="7">
        <f t="shared" si="21"/>
        <v>0.3</v>
      </c>
      <c r="M279" s="188"/>
      <c r="N279" s="188"/>
      <c r="O279" s="188"/>
      <c r="P279" s="188"/>
    </row>
    <row r="280" spans="3:16" s="170" customFormat="1" x14ac:dyDescent="0.3">
      <c r="C280" s="183"/>
      <c r="D280" s="4" t="s">
        <v>257</v>
      </c>
      <c r="E280" s="135" t="s">
        <v>0</v>
      </c>
      <c r="F280" s="125">
        <v>1</v>
      </c>
      <c r="G280" s="6">
        <v>6.4</v>
      </c>
      <c r="H280" s="6">
        <v>0.3</v>
      </c>
      <c r="I280" s="6"/>
      <c r="J280" s="5">
        <v>1</v>
      </c>
      <c r="K280" s="7"/>
      <c r="L280" s="7">
        <f t="shared" si="21"/>
        <v>1.92</v>
      </c>
      <c r="M280" s="188"/>
      <c r="N280" s="188"/>
      <c r="O280" s="188"/>
      <c r="P280" s="188"/>
    </row>
    <row r="281" spans="3:16" s="170" customFormat="1" x14ac:dyDescent="0.3">
      <c r="C281" s="183"/>
      <c r="D281" s="4" t="s">
        <v>258</v>
      </c>
      <c r="E281" s="135" t="s">
        <v>0</v>
      </c>
      <c r="F281" s="125">
        <v>1</v>
      </c>
      <c r="G281" s="6">
        <v>2.95</v>
      </c>
      <c r="H281" s="6">
        <v>0.3</v>
      </c>
      <c r="I281" s="6"/>
      <c r="J281" s="5">
        <v>1</v>
      </c>
      <c r="K281" s="7"/>
      <c r="L281" s="7">
        <f>((I281)+H281)*F281*G281*J281</f>
        <v>0.88500000000000001</v>
      </c>
      <c r="M281" s="188"/>
      <c r="N281" s="188"/>
      <c r="O281" s="188"/>
      <c r="P281" s="188"/>
    </row>
    <row r="282" spans="3:16" s="170" customFormat="1" x14ac:dyDescent="0.3">
      <c r="C282" s="183"/>
      <c r="D282" s="4" t="s">
        <v>259</v>
      </c>
      <c r="E282" s="135" t="s">
        <v>0</v>
      </c>
      <c r="F282" s="125">
        <v>1</v>
      </c>
      <c r="G282" s="6">
        <v>1.2</v>
      </c>
      <c r="H282" s="6">
        <v>0.25</v>
      </c>
      <c r="I282" s="6"/>
      <c r="J282" s="5">
        <v>1</v>
      </c>
      <c r="K282" s="7"/>
      <c r="L282" s="7">
        <f t="shared" si="21"/>
        <v>0.3</v>
      </c>
      <c r="M282" s="188"/>
      <c r="N282" s="188"/>
      <c r="O282" s="188"/>
      <c r="P282" s="188"/>
    </row>
    <row r="283" spans="3:16" s="170" customFormat="1" x14ac:dyDescent="0.3">
      <c r="C283" s="183"/>
      <c r="D283" s="4" t="s">
        <v>260</v>
      </c>
      <c r="E283" s="135" t="s">
        <v>0</v>
      </c>
      <c r="F283" s="125">
        <v>1</v>
      </c>
      <c r="G283" s="6">
        <v>3.3</v>
      </c>
      <c r="H283" s="6"/>
      <c r="I283" s="6">
        <v>0.1</v>
      </c>
      <c r="J283" s="5">
        <v>1</v>
      </c>
      <c r="K283" s="7"/>
      <c r="L283" s="7">
        <f t="shared" si="21"/>
        <v>0.33</v>
      </c>
      <c r="M283" s="188"/>
      <c r="N283" s="188"/>
      <c r="O283" s="188"/>
      <c r="P283" s="188"/>
    </row>
    <row r="284" spans="3:16" s="170" customFormat="1" x14ac:dyDescent="0.3">
      <c r="C284" s="183"/>
      <c r="D284" s="4" t="s">
        <v>261</v>
      </c>
      <c r="E284" s="135" t="s">
        <v>0</v>
      </c>
      <c r="F284" s="125">
        <v>1</v>
      </c>
      <c r="G284" s="6">
        <v>2.95</v>
      </c>
      <c r="H284" s="6">
        <v>0.25</v>
      </c>
      <c r="I284" s="6"/>
      <c r="J284" s="5">
        <v>1</v>
      </c>
      <c r="K284" s="7"/>
      <c r="L284" s="7">
        <f t="shared" si="21"/>
        <v>0.73750000000000004</v>
      </c>
      <c r="M284" s="188"/>
      <c r="N284" s="188"/>
      <c r="O284" s="188"/>
      <c r="P284" s="188"/>
    </row>
    <row r="285" spans="3:16" s="170" customFormat="1" x14ac:dyDescent="0.3">
      <c r="C285" s="203"/>
      <c r="D285" s="204"/>
      <c r="E285" s="189"/>
      <c r="F285" s="190"/>
      <c r="G285" s="191"/>
      <c r="H285" s="191"/>
      <c r="I285" s="191"/>
      <c r="J285" s="160"/>
      <c r="K285" s="180"/>
      <c r="L285" s="180"/>
      <c r="M285" s="180"/>
      <c r="N285" s="180"/>
      <c r="O285" s="180"/>
      <c r="P285" s="180"/>
    </row>
    <row r="286" spans="3:16" s="170" customFormat="1" x14ac:dyDescent="0.3">
      <c r="C286" s="181"/>
      <c r="D286" s="201" t="s">
        <v>52</v>
      </c>
      <c r="E286" s="189"/>
      <c r="F286" s="190"/>
      <c r="G286" s="191"/>
      <c r="H286" s="191"/>
      <c r="I286" s="191"/>
      <c r="J286" s="160"/>
      <c r="K286" s="180"/>
      <c r="L286" s="180"/>
      <c r="M286" s="180"/>
      <c r="N286" s="180"/>
      <c r="O286" s="180"/>
      <c r="P286" s="180"/>
    </row>
    <row r="287" spans="3:16" s="170" customFormat="1" x14ac:dyDescent="0.3">
      <c r="C287" s="183"/>
      <c r="D287" s="4" t="s">
        <v>262</v>
      </c>
      <c r="E287" s="135" t="s">
        <v>0</v>
      </c>
      <c r="F287" s="125">
        <v>12</v>
      </c>
      <c r="G287" s="6">
        <v>2.4</v>
      </c>
      <c r="H287" s="6"/>
      <c r="I287" s="6">
        <v>0.05</v>
      </c>
      <c r="J287" s="5">
        <v>1</v>
      </c>
      <c r="K287" s="7"/>
      <c r="L287" s="7">
        <f t="shared" ref="L287:L290" si="22">((I287)+H287)*F287*G287*J287</f>
        <v>1.4400000000000002</v>
      </c>
      <c r="M287" s="188"/>
      <c r="N287" s="188"/>
      <c r="O287" s="188"/>
      <c r="P287" s="188"/>
    </row>
    <row r="288" spans="3:16" s="170" customFormat="1" x14ac:dyDescent="0.3">
      <c r="C288" s="183"/>
      <c r="D288" s="4" t="s">
        <v>263</v>
      </c>
      <c r="E288" s="135" t="s">
        <v>0</v>
      </c>
      <c r="F288" s="125">
        <v>12</v>
      </c>
      <c r="G288" s="6">
        <v>2.4</v>
      </c>
      <c r="H288" s="6"/>
      <c r="I288" s="6">
        <v>0.05</v>
      </c>
      <c r="J288" s="5">
        <v>1</v>
      </c>
      <c r="K288" s="7"/>
      <c r="L288" s="7">
        <f t="shared" si="22"/>
        <v>1.4400000000000002</v>
      </c>
      <c r="M288" s="188"/>
      <c r="N288" s="188"/>
      <c r="O288" s="188"/>
      <c r="P288" s="188"/>
    </row>
    <row r="289" spans="1:16" s="170" customFormat="1" x14ac:dyDescent="0.3">
      <c r="C289" s="183"/>
      <c r="D289" s="4"/>
      <c r="E289" s="135" t="s">
        <v>0</v>
      </c>
      <c r="F289" s="125">
        <v>12</v>
      </c>
      <c r="G289" s="6">
        <v>2.4</v>
      </c>
      <c r="H289" s="6"/>
      <c r="I289" s="6">
        <v>0.05</v>
      </c>
      <c r="J289" s="5">
        <v>1</v>
      </c>
      <c r="K289" s="7"/>
      <c r="L289" s="7">
        <f t="shared" si="22"/>
        <v>1.4400000000000002</v>
      </c>
      <c r="M289" s="188"/>
      <c r="N289" s="188"/>
      <c r="O289" s="188"/>
      <c r="P289" s="188"/>
    </row>
    <row r="290" spans="1:16" s="170" customFormat="1" x14ac:dyDescent="0.3">
      <c r="C290" s="183"/>
      <c r="D290" s="4" t="s">
        <v>264</v>
      </c>
      <c r="E290" s="135" t="s">
        <v>0</v>
      </c>
      <c r="F290" s="125">
        <v>12</v>
      </c>
      <c r="G290" s="6">
        <v>2.4</v>
      </c>
      <c r="H290" s="6"/>
      <c r="I290" s="6">
        <v>0.05</v>
      </c>
      <c r="J290" s="5">
        <v>1</v>
      </c>
      <c r="K290" s="7"/>
      <c r="L290" s="7">
        <f t="shared" si="22"/>
        <v>1.4400000000000002</v>
      </c>
      <c r="M290" s="188"/>
      <c r="N290" s="188"/>
      <c r="O290" s="188"/>
      <c r="P290" s="188"/>
    </row>
    <row r="291" spans="1:16" s="170" customFormat="1" x14ac:dyDescent="0.3">
      <c r="C291" s="181"/>
      <c r="D291" s="201"/>
      <c r="E291" s="189"/>
      <c r="F291" s="190"/>
      <c r="G291" s="191"/>
      <c r="H291" s="191"/>
      <c r="I291" s="191"/>
      <c r="J291" s="160"/>
      <c r="K291" s="180"/>
      <c r="L291" s="180"/>
      <c r="M291" s="180"/>
      <c r="N291" s="180"/>
      <c r="O291" s="180"/>
      <c r="P291" s="180"/>
    </row>
    <row r="292" spans="1:16" x14ac:dyDescent="0.3">
      <c r="A292" s="8">
        <v>3</v>
      </c>
      <c r="C292" s="99" t="s">
        <v>1184</v>
      </c>
      <c r="D292" s="100" t="s">
        <v>420</v>
      </c>
      <c r="E292" s="132" t="s">
        <v>0</v>
      </c>
      <c r="F292" s="1"/>
      <c r="G292" s="2"/>
      <c r="H292" s="2"/>
      <c r="I292" s="2"/>
      <c r="J292" s="3"/>
      <c r="K292" s="122"/>
      <c r="L292" s="122"/>
      <c r="M292" s="103"/>
      <c r="N292" s="103"/>
      <c r="O292" s="103"/>
      <c r="P292" s="103">
        <f>SUM(L292:L325)</f>
        <v>85.697999999999993</v>
      </c>
    </row>
    <row r="293" spans="1:16" x14ac:dyDescent="0.3">
      <c r="C293" s="181"/>
      <c r="D293" s="120" t="s">
        <v>127</v>
      </c>
      <c r="E293" s="144"/>
      <c r="F293" s="119"/>
      <c r="G293" s="122"/>
      <c r="H293" s="122"/>
      <c r="I293" s="122"/>
      <c r="J293" s="3"/>
      <c r="K293" s="113"/>
      <c r="M293" s="103"/>
      <c r="N293" s="103"/>
      <c r="O293" s="103"/>
      <c r="P293" s="103"/>
    </row>
    <row r="294" spans="1:16" x14ac:dyDescent="0.3">
      <c r="C294" s="183"/>
      <c r="D294" s="140" t="s">
        <v>266</v>
      </c>
      <c r="E294" s="138"/>
      <c r="F294" s="139"/>
      <c r="G294" s="2"/>
      <c r="H294" s="2"/>
      <c r="I294" s="2"/>
      <c r="J294" s="3"/>
      <c r="K294" s="113"/>
      <c r="L294" s="113"/>
      <c r="M294" s="103"/>
      <c r="N294" s="103"/>
      <c r="O294" s="103"/>
      <c r="P294" s="103"/>
    </row>
    <row r="295" spans="1:16" x14ac:dyDescent="0.3">
      <c r="C295" s="181"/>
      <c r="D295" s="4" t="s">
        <v>267</v>
      </c>
      <c r="E295" s="135" t="s">
        <v>0</v>
      </c>
      <c r="F295" s="125">
        <v>2</v>
      </c>
      <c r="G295" s="6">
        <v>0.15</v>
      </c>
      <c r="H295" s="6">
        <v>3.65</v>
      </c>
      <c r="I295" s="6">
        <v>0.9</v>
      </c>
      <c r="J295" s="5">
        <v>1</v>
      </c>
      <c r="K295" s="7"/>
      <c r="L295" s="7">
        <f>((H295+I295)*2)*F295*G295*J295</f>
        <v>2.73</v>
      </c>
      <c r="M295" s="103"/>
      <c r="N295" s="103"/>
      <c r="O295" s="103"/>
      <c r="P295" s="103"/>
    </row>
    <row r="296" spans="1:16" x14ac:dyDescent="0.3">
      <c r="C296" s="183"/>
      <c r="D296" s="4" t="s">
        <v>139</v>
      </c>
      <c r="E296" s="135" t="s">
        <v>0</v>
      </c>
      <c r="F296" s="125">
        <v>18</v>
      </c>
      <c r="G296" s="6">
        <v>0.15</v>
      </c>
      <c r="H296" s="6">
        <v>0.55000000000000004</v>
      </c>
      <c r="I296" s="6">
        <v>8</v>
      </c>
      <c r="J296" s="5">
        <v>1</v>
      </c>
      <c r="K296" s="7"/>
      <c r="L296" s="7">
        <f t="shared" ref="L296:L297" si="23">((H296+I296)*2)*F296*G296*J296</f>
        <v>46.17</v>
      </c>
      <c r="M296" s="103"/>
      <c r="N296" s="103"/>
      <c r="O296" s="103"/>
      <c r="P296" s="103"/>
    </row>
    <row r="297" spans="1:16" x14ac:dyDescent="0.3">
      <c r="C297" s="181"/>
      <c r="D297" s="4" t="s">
        <v>268</v>
      </c>
      <c r="E297" s="135" t="s">
        <v>0</v>
      </c>
      <c r="F297" s="125">
        <v>4</v>
      </c>
      <c r="G297" s="6">
        <v>0.15</v>
      </c>
      <c r="H297" s="6">
        <v>2.65</v>
      </c>
      <c r="I297" s="6">
        <v>0.9</v>
      </c>
      <c r="J297" s="5">
        <v>1</v>
      </c>
      <c r="K297" s="7"/>
      <c r="L297" s="7">
        <f t="shared" si="23"/>
        <v>4.26</v>
      </c>
      <c r="M297" s="103"/>
      <c r="N297" s="103"/>
      <c r="O297" s="103"/>
      <c r="P297" s="103"/>
    </row>
    <row r="298" spans="1:16" x14ac:dyDescent="0.3">
      <c r="C298" s="183"/>
      <c r="D298" s="140" t="s">
        <v>129</v>
      </c>
      <c r="E298" s="138"/>
      <c r="F298" s="139"/>
      <c r="G298" s="2"/>
      <c r="H298" s="2"/>
      <c r="I298" s="2"/>
      <c r="J298" s="3"/>
      <c r="K298" s="113"/>
      <c r="L298" s="113"/>
      <c r="M298" s="103"/>
      <c r="N298" s="103"/>
      <c r="O298" s="103"/>
      <c r="P298" s="103"/>
    </row>
    <row r="299" spans="1:16" x14ac:dyDescent="0.3">
      <c r="C299" s="181"/>
      <c r="D299" s="4" t="s">
        <v>130</v>
      </c>
      <c r="E299" s="135" t="s">
        <v>0</v>
      </c>
      <c r="F299" s="125">
        <v>4</v>
      </c>
      <c r="G299" s="6">
        <v>0.15</v>
      </c>
      <c r="H299" s="6">
        <v>1</v>
      </c>
      <c r="I299" s="6">
        <v>3</v>
      </c>
      <c r="J299" s="5">
        <v>1</v>
      </c>
      <c r="K299" s="7"/>
      <c r="L299" s="7">
        <f>((H299+I299)*2)*F299*G299*J299</f>
        <v>4.8</v>
      </c>
      <c r="M299" s="103"/>
      <c r="N299" s="103"/>
      <c r="O299" s="103"/>
      <c r="P299" s="103"/>
    </row>
    <row r="300" spans="1:16" x14ac:dyDescent="0.3">
      <c r="C300" s="183"/>
      <c r="D300" s="120"/>
      <c r="E300" s="144"/>
      <c r="F300" s="119"/>
      <c r="G300" s="122"/>
      <c r="H300" s="122"/>
      <c r="I300" s="122"/>
      <c r="J300" s="3"/>
      <c r="K300" s="113"/>
      <c r="L300" s="113"/>
      <c r="M300" s="103"/>
      <c r="N300" s="103"/>
      <c r="O300" s="103"/>
      <c r="P300" s="103"/>
    </row>
    <row r="301" spans="1:16" x14ac:dyDescent="0.3">
      <c r="C301" s="181"/>
      <c r="D301" s="120" t="s">
        <v>68</v>
      </c>
      <c r="E301" s="144"/>
      <c r="F301" s="119"/>
      <c r="G301" s="122"/>
      <c r="H301" s="122"/>
      <c r="I301" s="122"/>
      <c r="J301" s="3"/>
      <c r="K301" s="113"/>
      <c r="L301" s="113"/>
      <c r="M301" s="103"/>
      <c r="N301" s="103"/>
      <c r="O301" s="103"/>
      <c r="P301" s="103"/>
    </row>
    <row r="302" spans="1:16" x14ac:dyDescent="0.3">
      <c r="C302" s="183"/>
      <c r="D302" s="140" t="s">
        <v>266</v>
      </c>
      <c r="E302" s="138"/>
      <c r="F302" s="139"/>
      <c r="G302" s="2"/>
      <c r="H302" s="2"/>
      <c r="I302" s="2"/>
      <c r="J302" s="3"/>
      <c r="K302" s="113"/>
      <c r="L302" s="113"/>
      <c r="M302" s="103"/>
      <c r="N302" s="103"/>
      <c r="O302" s="103"/>
      <c r="P302" s="103"/>
    </row>
    <row r="303" spans="1:16" x14ac:dyDescent="0.3">
      <c r="C303" s="181"/>
      <c r="D303" s="4" t="s">
        <v>268</v>
      </c>
      <c r="E303" s="135" t="s">
        <v>0</v>
      </c>
      <c r="F303" s="125">
        <v>5</v>
      </c>
      <c r="G303" s="6">
        <v>0.15</v>
      </c>
      <c r="H303" s="6">
        <v>2.65</v>
      </c>
      <c r="I303" s="6">
        <v>0.92</v>
      </c>
      <c r="J303" s="5">
        <v>1</v>
      </c>
      <c r="K303" s="7"/>
      <c r="L303" s="7">
        <f t="shared" ref="L303:L304" si="24">((H303+I303)*2)*F303*G303*J303</f>
        <v>5.3549999999999995</v>
      </c>
      <c r="M303" s="103"/>
      <c r="N303" s="103"/>
      <c r="O303" s="103"/>
      <c r="P303" s="103"/>
    </row>
    <row r="304" spans="1:16" x14ac:dyDescent="0.3">
      <c r="C304" s="183"/>
      <c r="D304" s="4" t="s">
        <v>269</v>
      </c>
      <c r="E304" s="135" t="s">
        <v>0</v>
      </c>
      <c r="F304" s="125">
        <v>1</v>
      </c>
      <c r="G304" s="6">
        <v>0.15</v>
      </c>
      <c r="H304" s="6">
        <v>2.15</v>
      </c>
      <c r="I304" s="6">
        <v>0.92</v>
      </c>
      <c r="J304" s="5">
        <v>1</v>
      </c>
      <c r="K304" s="7"/>
      <c r="L304" s="7">
        <f t="shared" si="24"/>
        <v>0.92099999999999993</v>
      </c>
      <c r="M304" s="103"/>
      <c r="N304" s="103"/>
      <c r="O304" s="103"/>
      <c r="P304" s="103"/>
    </row>
    <row r="305" spans="3:16" x14ac:dyDescent="0.3">
      <c r="C305" s="181"/>
      <c r="D305" s="140" t="s">
        <v>129</v>
      </c>
      <c r="E305" s="138"/>
      <c r="F305" s="139"/>
      <c r="G305" s="2"/>
      <c r="H305" s="2"/>
      <c r="I305" s="2"/>
      <c r="J305" s="3"/>
      <c r="K305" s="113"/>
      <c r="L305" s="113"/>
      <c r="M305" s="103"/>
      <c r="N305" s="103"/>
      <c r="O305" s="103"/>
      <c r="P305" s="103"/>
    </row>
    <row r="306" spans="3:16" x14ac:dyDescent="0.3">
      <c r="C306" s="183"/>
      <c r="D306" s="4" t="s">
        <v>130</v>
      </c>
      <c r="E306" s="135" t="s">
        <v>0</v>
      </c>
      <c r="F306" s="125">
        <v>5</v>
      </c>
      <c r="G306" s="6">
        <v>0.15</v>
      </c>
      <c r="H306" s="6">
        <v>1</v>
      </c>
      <c r="I306" s="6">
        <v>3.02</v>
      </c>
      <c r="J306" s="5">
        <v>1</v>
      </c>
      <c r="K306" s="7"/>
      <c r="L306" s="7">
        <f>((H306+I306)*2)*F306*G306*J306</f>
        <v>6.0299999999999994</v>
      </c>
      <c r="M306" s="103"/>
      <c r="N306" s="103"/>
      <c r="O306" s="103"/>
      <c r="P306" s="103"/>
    </row>
    <row r="307" spans="3:16" x14ac:dyDescent="0.3">
      <c r="C307" s="181"/>
      <c r="D307" s="4" t="s">
        <v>270</v>
      </c>
      <c r="E307" s="135" t="s">
        <v>0</v>
      </c>
      <c r="F307" s="125">
        <v>1</v>
      </c>
      <c r="G307" s="6">
        <v>0.15</v>
      </c>
      <c r="H307" s="6">
        <v>1.5</v>
      </c>
      <c r="I307" s="6">
        <v>3.02</v>
      </c>
      <c r="J307" s="5">
        <v>1</v>
      </c>
      <c r="K307" s="7"/>
      <c r="L307" s="7">
        <f>((H307+I307)*2)*F307*G307*J307</f>
        <v>1.3559999999999999</v>
      </c>
      <c r="M307" s="103"/>
      <c r="N307" s="103"/>
      <c r="O307" s="103"/>
      <c r="P307" s="103"/>
    </row>
    <row r="308" spans="3:16" x14ac:dyDescent="0.3">
      <c r="C308" s="183"/>
      <c r="D308" s="120"/>
      <c r="E308" s="144"/>
      <c r="F308" s="119"/>
      <c r="G308" s="122"/>
      <c r="H308" s="122"/>
      <c r="I308" s="122"/>
      <c r="J308" s="3"/>
      <c r="K308" s="113"/>
      <c r="L308" s="113"/>
      <c r="M308" s="103"/>
      <c r="N308" s="103"/>
      <c r="O308" s="103"/>
      <c r="P308" s="103"/>
    </row>
    <row r="309" spans="3:16" x14ac:dyDescent="0.3">
      <c r="C309" s="181"/>
      <c r="D309" s="120" t="s">
        <v>106</v>
      </c>
      <c r="E309" s="144"/>
      <c r="F309" s="119"/>
      <c r="G309" s="122"/>
      <c r="H309" s="122"/>
      <c r="I309" s="122"/>
      <c r="J309" s="3"/>
      <c r="K309" s="113"/>
      <c r="L309" s="113"/>
      <c r="M309" s="103"/>
      <c r="N309" s="103"/>
      <c r="O309" s="103"/>
      <c r="P309" s="103"/>
    </row>
    <row r="310" spans="3:16" x14ac:dyDescent="0.3">
      <c r="C310" s="183"/>
      <c r="D310" s="140" t="s">
        <v>266</v>
      </c>
      <c r="E310" s="138"/>
      <c r="F310" s="139"/>
      <c r="G310" s="2"/>
      <c r="H310" s="2"/>
      <c r="I310" s="2"/>
      <c r="J310" s="3"/>
      <c r="K310" s="113"/>
      <c r="L310" s="113"/>
      <c r="M310" s="103"/>
      <c r="N310" s="103"/>
      <c r="O310" s="103"/>
      <c r="P310" s="103"/>
    </row>
    <row r="311" spans="3:16" x14ac:dyDescent="0.3">
      <c r="C311" s="181"/>
      <c r="D311" s="4" t="s">
        <v>267</v>
      </c>
      <c r="E311" s="135" t="s">
        <v>0</v>
      </c>
      <c r="F311" s="125">
        <v>1</v>
      </c>
      <c r="G311" s="6">
        <v>0.15</v>
      </c>
      <c r="H311" s="6">
        <v>3.65</v>
      </c>
      <c r="I311" s="6">
        <v>0.85</v>
      </c>
      <c r="J311" s="5">
        <v>1</v>
      </c>
      <c r="K311" s="7"/>
      <c r="L311" s="7">
        <f t="shared" ref="L311:L319" si="25">((H311+I311)*2)*F311*G311*J311</f>
        <v>1.3499999999999999</v>
      </c>
      <c r="M311" s="103"/>
      <c r="N311" s="103"/>
      <c r="O311" s="103"/>
      <c r="P311" s="103"/>
    </row>
    <row r="312" spans="3:16" x14ac:dyDescent="0.3">
      <c r="C312" s="183"/>
      <c r="D312" s="4"/>
      <c r="E312" s="135" t="s">
        <v>0</v>
      </c>
      <c r="F312" s="125">
        <v>1</v>
      </c>
      <c r="G312" s="6">
        <v>0.15</v>
      </c>
      <c r="H312" s="6">
        <v>1.37</v>
      </c>
      <c r="I312" s="6">
        <v>0.85</v>
      </c>
      <c r="J312" s="5">
        <v>1</v>
      </c>
      <c r="K312" s="7"/>
      <c r="L312" s="7">
        <f t="shared" si="25"/>
        <v>0.66600000000000004</v>
      </c>
      <c r="M312" s="103"/>
      <c r="N312" s="103"/>
      <c r="O312" s="103"/>
      <c r="P312" s="103"/>
    </row>
    <row r="313" spans="3:16" x14ac:dyDescent="0.3">
      <c r="C313" s="181"/>
      <c r="D313" s="4"/>
      <c r="E313" s="135" t="s">
        <v>0</v>
      </c>
      <c r="F313" s="125">
        <v>1</v>
      </c>
      <c r="G313" s="6">
        <v>0.15</v>
      </c>
      <c r="H313" s="6">
        <v>1.2</v>
      </c>
      <c r="I313" s="6">
        <v>0.85</v>
      </c>
      <c r="J313" s="5">
        <v>1</v>
      </c>
      <c r="K313" s="7"/>
      <c r="L313" s="7">
        <f t="shared" si="25"/>
        <v>0.61499999999999988</v>
      </c>
      <c r="M313" s="103"/>
      <c r="N313" s="103"/>
      <c r="O313" s="103"/>
      <c r="P313" s="103"/>
    </row>
    <row r="314" spans="3:16" x14ac:dyDescent="0.3">
      <c r="C314" s="183"/>
      <c r="D314" s="4"/>
      <c r="E314" s="135" t="s">
        <v>0</v>
      </c>
      <c r="F314" s="125">
        <v>1</v>
      </c>
      <c r="G314" s="6">
        <v>0.15</v>
      </c>
      <c r="H314" s="6">
        <v>0.77</v>
      </c>
      <c r="I314" s="6">
        <v>0.85</v>
      </c>
      <c r="J314" s="5">
        <v>1</v>
      </c>
      <c r="K314" s="7"/>
      <c r="L314" s="7">
        <f t="shared" si="25"/>
        <v>0.48599999999999999</v>
      </c>
      <c r="M314" s="103"/>
      <c r="N314" s="103"/>
      <c r="O314" s="103"/>
      <c r="P314" s="103"/>
    </row>
    <row r="315" spans="3:16" x14ac:dyDescent="0.3">
      <c r="C315" s="181"/>
      <c r="D315" s="4" t="s">
        <v>271</v>
      </c>
      <c r="E315" s="135" t="s">
        <v>0</v>
      </c>
      <c r="F315" s="125">
        <v>1</v>
      </c>
      <c r="G315" s="6">
        <v>0.15</v>
      </c>
      <c r="H315" s="6">
        <v>2.6</v>
      </c>
      <c r="I315" s="6">
        <v>0.85</v>
      </c>
      <c r="J315" s="5">
        <v>1</v>
      </c>
      <c r="K315" s="7"/>
      <c r="L315" s="7">
        <f t="shared" si="25"/>
        <v>1.0349999999999999</v>
      </c>
      <c r="M315" s="103"/>
      <c r="N315" s="103"/>
      <c r="O315" s="103"/>
      <c r="P315" s="103"/>
    </row>
    <row r="316" spans="3:16" x14ac:dyDescent="0.3">
      <c r="C316" s="183"/>
      <c r="D316" s="4" t="s">
        <v>272</v>
      </c>
      <c r="E316" s="135" t="s">
        <v>0</v>
      </c>
      <c r="F316" s="125">
        <v>1</v>
      </c>
      <c r="G316" s="6">
        <v>0.15</v>
      </c>
      <c r="H316" s="6">
        <v>0.9</v>
      </c>
      <c r="I316" s="6">
        <v>0.85</v>
      </c>
      <c r="J316" s="5">
        <v>1</v>
      </c>
      <c r="K316" s="7"/>
      <c r="L316" s="7">
        <f t="shared" si="25"/>
        <v>0.52500000000000002</v>
      </c>
      <c r="M316" s="103"/>
      <c r="N316" s="103"/>
      <c r="O316" s="103"/>
      <c r="P316" s="103"/>
    </row>
    <row r="317" spans="3:16" x14ac:dyDescent="0.3">
      <c r="C317" s="181"/>
      <c r="D317" s="4" t="s">
        <v>273</v>
      </c>
      <c r="E317" s="135" t="s">
        <v>0</v>
      </c>
      <c r="F317" s="125">
        <v>1</v>
      </c>
      <c r="G317" s="6">
        <v>0.15</v>
      </c>
      <c r="H317" s="6">
        <v>1.7</v>
      </c>
      <c r="I317" s="6">
        <v>0.85</v>
      </c>
      <c r="J317" s="5">
        <v>1</v>
      </c>
      <c r="K317" s="7"/>
      <c r="L317" s="7">
        <f t="shared" si="25"/>
        <v>0.7649999999999999</v>
      </c>
      <c r="M317" s="103"/>
      <c r="N317" s="103"/>
      <c r="O317" s="103"/>
      <c r="P317" s="103"/>
    </row>
    <row r="318" spans="3:16" x14ac:dyDescent="0.3">
      <c r="C318" s="183"/>
      <c r="D318" s="4" t="s">
        <v>274</v>
      </c>
      <c r="E318" s="135" t="s">
        <v>0</v>
      </c>
      <c r="F318" s="125">
        <v>1</v>
      </c>
      <c r="G318" s="6">
        <v>0.15</v>
      </c>
      <c r="H318" s="6">
        <v>1.45</v>
      </c>
      <c r="I318" s="6">
        <v>0.85</v>
      </c>
      <c r="J318" s="5">
        <v>1</v>
      </c>
      <c r="K318" s="7"/>
      <c r="L318" s="7">
        <f t="shared" si="25"/>
        <v>0.69</v>
      </c>
      <c r="M318" s="103"/>
      <c r="N318" s="103"/>
      <c r="O318" s="103"/>
      <c r="P318" s="103"/>
    </row>
    <row r="319" spans="3:16" x14ac:dyDescent="0.3">
      <c r="C319" s="181"/>
      <c r="D319" s="4" t="s">
        <v>275</v>
      </c>
      <c r="E319" s="135" t="s">
        <v>0</v>
      </c>
      <c r="F319" s="125">
        <v>1</v>
      </c>
      <c r="G319" s="6">
        <v>0.15</v>
      </c>
      <c r="H319" s="6">
        <v>2.08</v>
      </c>
      <c r="I319" s="6">
        <v>0.85</v>
      </c>
      <c r="J319" s="5">
        <v>1</v>
      </c>
      <c r="K319" s="7"/>
      <c r="L319" s="7">
        <f t="shared" si="25"/>
        <v>0.879</v>
      </c>
      <c r="M319" s="103"/>
      <c r="N319" s="103"/>
      <c r="O319" s="103"/>
      <c r="P319" s="103"/>
    </row>
    <row r="320" spans="3:16" x14ac:dyDescent="0.3">
      <c r="C320" s="183"/>
      <c r="D320" s="140" t="s">
        <v>129</v>
      </c>
      <c r="E320" s="138"/>
      <c r="F320" s="139"/>
      <c r="G320" s="2"/>
      <c r="H320" s="2"/>
      <c r="I320" s="2"/>
      <c r="J320" s="3"/>
      <c r="K320" s="113"/>
      <c r="L320" s="113"/>
      <c r="M320" s="103"/>
      <c r="N320" s="103"/>
      <c r="O320" s="103"/>
      <c r="P320" s="103"/>
    </row>
    <row r="321" spans="1:16" x14ac:dyDescent="0.3">
      <c r="C321" s="181"/>
      <c r="D321" s="4" t="s">
        <v>130</v>
      </c>
      <c r="E321" s="135" t="s">
        <v>0</v>
      </c>
      <c r="F321" s="125">
        <v>1</v>
      </c>
      <c r="G321" s="6">
        <v>0.15</v>
      </c>
      <c r="H321" s="6">
        <v>1</v>
      </c>
      <c r="I321" s="6">
        <v>2.95</v>
      </c>
      <c r="J321" s="5">
        <v>1</v>
      </c>
      <c r="K321" s="7"/>
      <c r="L321" s="7">
        <f>((H321+I321)*2)*F321*G321*J321</f>
        <v>1.1850000000000001</v>
      </c>
      <c r="M321" s="103"/>
      <c r="N321" s="103"/>
      <c r="O321" s="103"/>
      <c r="P321" s="103"/>
    </row>
    <row r="322" spans="1:16" x14ac:dyDescent="0.3">
      <c r="C322" s="183"/>
      <c r="D322" s="4" t="s">
        <v>276</v>
      </c>
      <c r="E322" s="135" t="s">
        <v>0</v>
      </c>
      <c r="F322" s="125">
        <v>1</v>
      </c>
      <c r="G322" s="6">
        <v>0.15</v>
      </c>
      <c r="H322" s="6">
        <v>3.65</v>
      </c>
      <c r="I322" s="6">
        <v>2.95</v>
      </c>
      <c r="J322" s="5">
        <v>1</v>
      </c>
      <c r="K322" s="7"/>
      <c r="L322" s="7">
        <f>((H322+I322)*2)*F322*G322*J322</f>
        <v>1.9799999999999998</v>
      </c>
      <c r="M322" s="103"/>
      <c r="N322" s="103"/>
      <c r="O322" s="103"/>
      <c r="P322" s="103"/>
    </row>
    <row r="323" spans="1:16" x14ac:dyDescent="0.3">
      <c r="C323" s="181"/>
      <c r="D323" s="4" t="s">
        <v>277</v>
      </c>
      <c r="E323" s="135" t="s">
        <v>0</v>
      </c>
      <c r="F323" s="125">
        <v>2</v>
      </c>
      <c r="G323" s="6">
        <v>0.15</v>
      </c>
      <c r="H323" s="6">
        <v>0.7</v>
      </c>
      <c r="I323" s="6">
        <v>2.4</v>
      </c>
      <c r="J323" s="5">
        <v>1</v>
      </c>
      <c r="K323" s="7"/>
      <c r="L323" s="7">
        <f>((H323+I323)*2)*F323*G323*J323</f>
        <v>1.8599999999999997</v>
      </c>
      <c r="M323" s="103"/>
      <c r="N323" s="103"/>
      <c r="O323" s="103"/>
      <c r="P323" s="103"/>
    </row>
    <row r="324" spans="1:16" x14ac:dyDescent="0.3">
      <c r="C324" s="183"/>
      <c r="D324" s="4" t="s">
        <v>277</v>
      </c>
      <c r="E324" s="135" t="s">
        <v>0</v>
      </c>
      <c r="F324" s="125">
        <v>2</v>
      </c>
      <c r="G324" s="6">
        <v>0.15</v>
      </c>
      <c r="H324" s="6">
        <v>1</v>
      </c>
      <c r="I324" s="6">
        <v>2.4</v>
      </c>
      <c r="J324" s="5">
        <v>1</v>
      </c>
      <c r="K324" s="7"/>
      <c r="L324" s="7">
        <f>((H324+I324)*2)*F324*G324*J324</f>
        <v>2.04</v>
      </c>
      <c r="M324" s="103"/>
      <c r="N324" s="103"/>
      <c r="O324" s="103"/>
      <c r="P324" s="103"/>
    </row>
    <row r="325" spans="1:16" x14ac:dyDescent="0.3">
      <c r="C325" s="181"/>
      <c r="M325" s="103"/>
      <c r="N325" s="103"/>
      <c r="O325" s="103"/>
      <c r="P325" s="103"/>
    </row>
    <row r="326" spans="1:16" x14ac:dyDescent="0.3">
      <c r="A326" s="8">
        <v>3</v>
      </c>
      <c r="C326" s="183" t="s">
        <v>1185</v>
      </c>
      <c r="D326" s="100" t="s">
        <v>159</v>
      </c>
      <c r="E326" s="101" t="s">
        <v>0</v>
      </c>
      <c r="F326" s="1"/>
      <c r="G326" s="2"/>
      <c r="H326" s="2"/>
      <c r="I326" s="2"/>
      <c r="J326" s="102"/>
      <c r="K326" s="103"/>
      <c r="L326" s="103"/>
      <c r="M326" s="103"/>
      <c r="N326" s="103"/>
      <c r="O326" s="103"/>
      <c r="P326" s="103">
        <f>SUM(L327:L359)</f>
        <v>713.23500000000001</v>
      </c>
    </row>
    <row r="327" spans="1:16" x14ac:dyDescent="0.3">
      <c r="C327" s="181"/>
      <c r="D327" s="120" t="s">
        <v>127</v>
      </c>
      <c r="E327" s="144"/>
      <c r="F327" s="119"/>
      <c r="G327" s="122"/>
      <c r="H327" s="122"/>
      <c r="I327" s="122"/>
      <c r="J327" s="3"/>
      <c r="K327" s="113"/>
      <c r="L327" s="113"/>
      <c r="M327" s="103"/>
      <c r="N327" s="103"/>
      <c r="O327" s="103"/>
      <c r="P327" s="103"/>
    </row>
    <row r="328" spans="1:16" x14ac:dyDescent="0.3">
      <c r="C328" s="183"/>
      <c r="D328" s="4" t="s">
        <v>187</v>
      </c>
      <c r="E328" s="135" t="s">
        <v>0</v>
      </c>
      <c r="F328" s="125">
        <v>1</v>
      </c>
      <c r="G328" s="6" t="s">
        <v>156</v>
      </c>
      <c r="H328" s="6">
        <v>27.84</v>
      </c>
      <c r="I328" s="6"/>
      <c r="J328" s="5">
        <v>1</v>
      </c>
      <c r="K328" s="7"/>
      <c r="L328" s="7">
        <f>PRODUCT(F328:J328)</f>
        <v>27.84</v>
      </c>
      <c r="M328" s="103"/>
      <c r="N328" s="103"/>
      <c r="O328" s="103"/>
      <c r="P328" s="103"/>
    </row>
    <row r="329" spans="1:16" x14ac:dyDescent="0.3">
      <c r="C329" s="181"/>
      <c r="D329" s="4"/>
      <c r="E329" s="135" t="s">
        <v>0</v>
      </c>
      <c r="F329" s="125">
        <v>1</v>
      </c>
      <c r="G329" s="6" t="s">
        <v>156</v>
      </c>
      <c r="H329" s="6">
        <v>27.36</v>
      </c>
      <c r="I329" s="6"/>
      <c r="J329" s="5">
        <v>1</v>
      </c>
      <c r="K329" s="7"/>
      <c r="L329" s="7">
        <f>PRODUCT(F329:J329)</f>
        <v>27.36</v>
      </c>
      <c r="M329" s="103"/>
      <c r="N329" s="103"/>
      <c r="O329" s="103"/>
      <c r="P329" s="103"/>
    </row>
    <row r="330" spans="1:16" x14ac:dyDescent="0.3">
      <c r="C330" s="183"/>
      <c r="D330" s="4"/>
      <c r="E330" s="135" t="s">
        <v>0</v>
      </c>
      <c r="F330" s="125">
        <v>1</v>
      </c>
      <c r="G330" s="6" t="s">
        <v>156</v>
      </c>
      <c r="H330" s="6">
        <v>28.48</v>
      </c>
      <c r="I330" s="6"/>
      <c r="J330" s="5">
        <v>1</v>
      </c>
      <c r="K330" s="7"/>
      <c r="L330" s="7">
        <f>PRODUCT(F330:J330)</f>
        <v>28.48</v>
      </c>
      <c r="M330" s="103"/>
      <c r="N330" s="103"/>
      <c r="O330" s="103"/>
      <c r="P330" s="103"/>
    </row>
    <row r="331" spans="1:16" x14ac:dyDescent="0.3">
      <c r="C331" s="181"/>
      <c r="D331" s="4" t="s">
        <v>190</v>
      </c>
      <c r="E331" s="135" t="s">
        <v>0</v>
      </c>
      <c r="F331" s="125">
        <v>1</v>
      </c>
      <c r="G331" s="6" t="s">
        <v>156</v>
      </c>
      <c r="H331" s="6">
        <v>27.68</v>
      </c>
      <c r="I331" s="6"/>
      <c r="J331" s="5">
        <v>1</v>
      </c>
      <c r="K331" s="7"/>
      <c r="L331" s="7">
        <f>PRODUCT(F331:J331)</f>
        <v>27.68</v>
      </c>
      <c r="M331" s="103"/>
      <c r="N331" s="103"/>
      <c r="O331" s="103"/>
      <c r="P331" s="103"/>
    </row>
    <row r="332" spans="1:16" x14ac:dyDescent="0.3">
      <c r="C332" s="183"/>
      <c r="D332" s="4"/>
      <c r="E332" s="135" t="s">
        <v>0</v>
      </c>
      <c r="F332" s="125">
        <v>1</v>
      </c>
      <c r="G332" s="6" t="s">
        <v>156</v>
      </c>
      <c r="H332" s="6">
        <v>27.36</v>
      </c>
      <c r="I332" s="6"/>
      <c r="J332" s="5">
        <v>1</v>
      </c>
      <c r="K332" s="7"/>
      <c r="L332" s="7">
        <f t="shared" ref="L332:L333" si="26">PRODUCT(F332:J332)</f>
        <v>27.36</v>
      </c>
      <c r="M332" s="103"/>
      <c r="N332" s="103"/>
      <c r="O332" s="103"/>
      <c r="P332" s="103"/>
    </row>
    <row r="333" spans="1:16" x14ac:dyDescent="0.3">
      <c r="C333" s="181"/>
      <c r="D333" s="4"/>
      <c r="E333" s="135" t="s">
        <v>0</v>
      </c>
      <c r="F333" s="125">
        <v>1</v>
      </c>
      <c r="G333" s="6" t="s">
        <v>156</v>
      </c>
      <c r="H333" s="6">
        <v>28.64</v>
      </c>
      <c r="I333" s="6"/>
      <c r="J333" s="5">
        <v>1</v>
      </c>
      <c r="K333" s="7"/>
      <c r="L333" s="7">
        <f t="shared" si="26"/>
        <v>28.64</v>
      </c>
      <c r="M333" s="103"/>
      <c r="N333" s="103"/>
      <c r="O333" s="103"/>
      <c r="P333" s="103"/>
    </row>
    <row r="334" spans="1:16" x14ac:dyDescent="0.3">
      <c r="C334" s="183"/>
      <c r="D334" s="4" t="s">
        <v>278</v>
      </c>
      <c r="E334" s="135" t="s">
        <v>0</v>
      </c>
      <c r="F334" s="125">
        <v>2</v>
      </c>
      <c r="G334" s="6" t="s">
        <v>156</v>
      </c>
      <c r="H334" s="6">
        <v>13.35</v>
      </c>
      <c r="I334" s="6"/>
      <c r="J334" s="5">
        <v>1</v>
      </c>
      <c r="K334" s="7"/>
      <c r="L334" s="7">
        <f>PRODUCT(F334:J334)</f>
        <v>26.7</v>
      </c>
      <c r="M334" s="103"/>
      <c r="N334" s="103"/>
      <c r="O334" s="103"/>
      <c r="P334" s="103"/>
    </row>
    <row r="335" spans="1:16" x14ac:dyDescent="0.3">
      <c r="C335" s="181"/>
      <c r="D335" s="4"/>
      <c r="E335" s="135" t="s">
        <v>0</v>
      </c>
      <c r="F335" s="125">
        <v>4</v>
      </c>
      <c r="G335" s="6" t="s">
        <v>156</v>
      </c>
      <c r="H335" s="6">
        <v>13.28</v>
      </c>
      <c r="I335" s="6"/>
      <c r="J335" s="5">
        <v>1</v>
      </c>
      <c r="K335" s="7"/>
      <c r="L335" s="7">
        <f t="shared" ref="L335" si="27">PRODUCT(F335:J335)</f>
        <v>53.12</v>
      </c>
      <c r="M335" s="103"/>
      <c r="N335" s="103"/>
      <c r="O335" s="103"/>
      <c r="P335" s="103"/>
    </row>
    <row r="336" spans="1:16" x14ac:dyDescent="0.3">
      <c r="C336" s="183"/>
      <c r="D336" s="120"/>
      <c r="E336" s="144"/>
      <c r="F336" s="119"/>
      <c r="G336" s="122"/>
      <c r="H336" s="122"/>
      <c r="I336" s="122"/>
      <c r="J336" s="3"/>
      <c r="K336" s="113"/>
      <c r="L336" s="113"/>
      <c r="M336" s="103"/>
      <c r="N336" s="103"/>
      <c r="O336" s="103"/>
      <c r="P336" s="103"/>
    </row>
    <row r="337" spans="3:16" x14ac:dyDescent="0.3">
      <c r="C337" s="181"/>
      <c r="D337" s="120" t="s">
        <v>68</v>
      </c>
      <c r="E337" s="144"/>
      <c r="F337" s="119"/>
      <c r="G337" s="122"/>
      <c r="H337" s="122"/>
      <c r="I337" s="122"/>
      <c r="J337" s="3"/>
      <c r="K337" s="113"/>
      <c r="L337" s="113"/>
      <c r="M337" s="103"/>
      <c r="N337" s="103"/>
      <c r="O337" s="103"/>
      <c r="P337" s="103"/>
    </row>
    <row r="338" spans="3:16" x14ac:dyDescent="0.3">
      <c r="C338" s="183"/>
      <c r="D338" s="4" t="s">
        <v>279</v>
      </c>
      <c r="E338" s="135" t="s">
        <v>0</v>
      </c>
      <c r="F338" s="125">
        <v>1</v>
      </c>
      <c r="G338" s="6" t="s">
        <v>156</v>
      </c>
      <c r="H338" s="6">
        <v>27.84</v>
      </c>
      <c r="I338" s="6"/>
      <c r="J338" s="5">
        <v>1</v>
      </c>
      <c r="K338" s="7"/>
      <c r="L338" s="7">
        <f>PRODUCT(F338:J338)</f>
        <v>27.84</v>
      </c>
      <c r="M338" s="103"/>
      <c r="N338" s="103"/>
      <c r="O338" s="103"/>
      <c r="P338" s="103"/>
    </row>
    <row r="339" spans="3:16" x14ac:dyDescent="0.3">
      <c r="C339" s="181"/>
      <c r="D339" s="4"/>
      <c r="E339" s="135" t="s">
        <v>0</v>
      </c>
      <c r="F339" s="125">
        <v>1</v>
      </c>
      <c r="G339" s="6" t="s">
        <v>156</v>
      </c>
      <c r="H339" s="6">
        <v>27.36</v>
      </c>
      <c r="I339" s="6"/>
      <c r="J339" s="5">
        <v>1</v>
      </c>
      <c r="K339" s="7"/>
      <c r="L339" s="7">
        <f>PRODUCT(F339:J339)</f>
        <v>27.36</v>
      </c>
      <c r="M339" s="103"/>
      <c r="N339" s="103"/>
      <c r="O339" s="103"/>
      <c r="P339" s="103"/>
    </row>
    <row r="340" spans="3:16" x14ac:dyDescent="0.3">
      <c r="C340" s="183"/>
      <c r="D340" s="4" t="s">
        <v>280</v>
      </c>
      <c r="E340" s="135" t="s">
        <v>0</v>
      </c>
      <c r="F340" s="125">
        <v>1</v>
      </c>
      <c r="G340" s="6" t="s">
        <v>156</v>
      </c>
      <c r="H340" s="6">
        <v>28.48</v>
      </c>
      <c r="I340" s="6"/>
      <c r="J340" s="5">
        <v>1</v>
      </c>
      <c r="K340" s="7"/>
      <c r="L340" s="7">
        <f>PRODUCT(F340:J340)</f>
        <v>28.48</v>
      </c>
      <c r="M340" s="103"/>
      <c r="N340" s="103"/>
      <c r="O340" s="103"/>
      <c r="P340" s="103"/>
    </row>
    <row r="341" spans="3:16" x14ac:dyDescent="0.3">
      <c r="C341" s="181"/>
      <c r="D341" s="4" t="s">
        <v>281</v>
      </c>
      <c r="E341" s="135" t="s">
        <v>0</v>
      </c>
      <c r="F341" s="125">
        <v>1</v>
      </c>
      <c r="G341" s="6" t="s">
        <v>156</v>
      </c>
      <c r="H341" s="6">
        <v>27.68</v>
      </c>
      <c r="I341" s="6"/>
      <c r="J341" s="5">
        <v>1</v>
      </c>
      <c r="K341" s="7"/>
      <c r="L341" s="7">
        <f>PRODUCT(F341:J341)</f>
        <v>27.68</v>
      </c>
      <c r="M341" s="103"/>
      <c r="N341" s="103"/>
      <c r="O341" s="103"/>
      <c r="P341" s="103"/>
    </row>
    <row r="342" spans="3:16" x14ac:dyDescent="0.3">
      <c r="C342" s="183"/>
      <c r="D342" s="4"/>
      <c r="E342" s="135" t="s">
        <v>0</v>
      </c>
      <c r="F342" s="125">
        <v>1</v>
      </c>
      <c r="G342" s="6" t="s">
        <v>156</v>
      </c>
      <c r="H342" s="6">
        <v>27.36</v>
      </c>
      <c r="I342" s="6"/>
      <c r="J342" s="5">
        <v>1</v>
      </c>
      <c r="K342" s="7"/>
      <c r="L342" s="7">
        <f t="shared" ref="L342:L343" si="28">PRODUCT(F342:J342)</f>
        <v>27.36</v>
      </c>
      <c r="M342" s="103"/>
      <c r="N342" s="103"/>
      <c r="O342" s="103"/>
      <c r="P342" s="103"/>
    </row>
    <row r="343" spans="3:16" x14ac:dyDescent="0.3">
      <c r="C343" s="181"/>
      <c r="D343" s="4" t="s">
        <v>282</v>
      </c>
      <c r="E343" s="135" t="s">
        <v>0</v>
      </c>
      <c r="F343" s="125">
        <v>1</v>
      </c>
      <c r="G343" s="6" t="s">
        <v>156</v>
      </c>
      <c r="H343" s="6">
        <v>28.64</v>
      </c>
      <c r="I343" s="6"/>
      <c r="J343" s="5">
        <v>1</v>
      </c>
      <c r="K343" s="7"/>
      <c r="L343" s="7">
        <f t="shared" si="28"/>
        <v>28.64</v>
      </c>
      <c r="M343" s="103"/>
      <c r="N343" s="103"/>
      <c r="O343" s="103"/>
      <c r="P343" s="103"/>
    </row>
    <row r="344" spans="3:16" x14ac:dyDescent="0.3">
      <c r="C344" s="183"/>
      <c r="D344" s="4" t="s">
        <v>278</v>
      </c>
      <c r="E344" s="135" t="s">
        <v>0</v>
      </c>
      <c r="F344" s="125">
        <v>2</v>
      </c>
      <c r="G344" s="6" t="s">
        <v>156</v>
      </c>
      <c r="H344" s="6">
        <v>13.35</v>
      </c>
      <c r="I344" s="6"/>
      <c r="J344" s="5">
        <v>1</v>
      </c>
      <c r="K344" s="7"/>
      <c r="L344" s="7">
        <f>PRODUCT(F344:J344)</f>
        <v>26.7</v>
      </c>
      <c r="M344" s="103"/>
      <c r="N344" s="103"/>
      <c r="O344" s="103"/>
      <c r="P344" s="103"/>
    </row>
    <row r="345" spans="3:16" x14ac:dyDescent="0.3">
      <c r="C345" s="181"/>
      <c r="D345" s="4"/>
      <c r="E345" s="135" t="s">
        <v>0</v>
      </c>
      <c r="F345" s="125">
        <v>4</v>
      </c>
      <c r="G345" s="6" t="s">
        <v>156</v>
      </c>
      <c r="H345" s="6">
        <v>13.28</v>
      </c>
      <c r="I345" s="6"/>
      <c r="J345" s="5">
        <v>1</v>
      </c>
      <c r="K345" s="7"/>
      <c r="L345" s="7">
        <f t="shared" ref="L345" si="29">PRODUCT(F345:J345)</f>
        <v>53.12</v>
      </c>
      <c r="M345" s="103"/>
      <c r="N345" s="103"/>
      <c r="O345" s="103"/>
      <c r="P345" s="103"/>
    </row>
    <row r="346" spans="3:16" x14ac:dyDescent="0.3">
      <c r="C346" s="183"/>
      <c r="D346" s="120"/>
      <c r="E346" s="144"/>
      <c r="F346" s="119"/>
      <c r="G346" s="122"/>
      <c r="H346" s="122"/>
      <c r="I346" s="122"/>
      <c r="J346" s="3"/>
      <c r="K346" s="113"/>
      <c r="L346" s="113"/>
      <c r="M346" s="103"/>
      <c r="N346" s="103"/>
      <c r="O346" s="103"/>
      <c r="P346" s="103"/>
    </row>
    <row r="347" spans="3:16" x14ac:dyDescent="0.3">
      <c r="C347" s="181"/>
      <c r="D347" s="120" t="s">
        <v>106</v>
      </c>
      <c r="E347" s="144"/>
      <c r="F347" s="119"/>
      <c r="G347" s="122"/>
      <c r="H347" s="122"/>
      <c r="I347" s="122"/>
      <c r="J347" s="3"/>
      <c r="K347" s="113"/>
      <c r="L347" s="113"/>
      <c r="M347" s="103"/>
      <c r="N347" s="103"/>
      <c r="O347" s="103"/>
      <c r="P347" s="103"/>
    </row>
    <row r="348" spans="3:16" x14ac:dyDescent="0.3">
      <c r="C348" s="183"/>
      <c r="D348" s="4" t="s">
        <v>283</v>
      </c>
      <c r="E348" s="124" t="s">
        <v>0</v>
      </c>
      <c r="F348" s="5">
        <v>9</v>
      </c>
      <c r="G348" s="6">
        <v>2.4</v>
      </c>
      <c r="H348" s="6">
        <v>6.4</v>
      </c>
      <c r="I348" s="6"/>
      <c r="J348" s="5">
        <v>1</v>
      </c>
      <c r="K348" s="7"/>
      <c r="L348" s="7">
        <f t="shared" ref="L348:L358" si="30">IF(F348="","",PRODUCT(F348:J348))</f>
        <v>138.23999999999998</v>
      </c>
      <c r="M348" s="103"/>
      <c r="N348" s="103"/>
      <c r="O348" s="103"/>
      <c r="P348" s="103"/>
    </row>
    <row r="349" spans="3:16" x14ac:dyDescent="0.3">
      <c r="C349" s="181"/>
      <c r="D349" s="134"/>
      <c r="E349" s="124" t="s">
        <v>0</v>
      </c>
      <c r="F349" s="5">
        <v>3</v>
      </c>
      <c r="G349" s="6">
        <v>2.4</v>
      </c>
      <c r="H349" s="6">
        <v>4.5</v>
      </c>
      <c r="I349" s="6"/>
      <c r="J349" s="5">
        <v>1</v>
      </c>
      <c r="K349" s="7"/>
      <c r="L349" s="7">
        <f t="shared" si="30"/>
        <v>32.4</v>
      </c>
      <c r="M349" s="103"/>
      <c r="N349" s="103"/>
      <c r="O349" s="103"/>
      <c r="P349" s="103"/>
    </row>
    <row r="350" spans="3:16" x14ac:dyDescent="0.3">
      <c r="C350" s="183"/>
      <c r="D350" s="4" t="s">
        <v>194</v>
      </c>
      <c r="E350" s="135" t="s">
        <v>0</v>
      </c>
      <c r="F350" s="125">
        <v>1</v>
      </c>
      <c r="G350" s="6">
        <v>2</v>
      </c>
      <c r="H350" s="6">
        <v>1.75</v>
      </c>
      <c r="I350" s="6"/>
      <c r="J350" s="5">
        <v>1</v>
      </c>
      <c r="K350" s="7"/>
      <c r="L350" s="7">
        <f t="shared" si="30"/>
        <v>3.5</v>
      </c>
      <c r="M350" s="103"/>
      <c r="N350" s="103"/>
      <c r="O350" s="103"/>
      <c r="P350" s="103"/>
    </row>
    <row r="351" spans="3:16" x14ac:dyDescent="0.3">
      <c r="C351" s="181"/>
      <c r="D351" s="4"/>
      <c r="E351" s="135" t="s">
        <v>0</v>
      </c>
      <c r="F351" s="125">
        <v>1</v>
      </c>
      <c r="G351" s="6">
        <v>1.3</v>
      </c>
      <c r="H351" s="6">
        <v>1.75</v>
      </c>
      <c r="I351" s="6"/>
      <c r="J351" s="5">
        <v>1</v>
      </c>
      <c r="K351" s="7"/>
      <c r="L351" s="7">
        <f t="shared" si="30"/>
        <v>2.2749999999999999</v>
      </c>
      <c r="M351" s="103"/>
      <c r="N351" s="103"/>
      <c r="O351" s="103"/>
      <c r="P351" s="103"/>
    </row>
    <row r="352" spans="3:16" x14ac:dyDescent="0.3">
      <c r="C352" s="183"/>
      <c r="D352" s="4"/>
      <c r="E352" s="135" t="s">
        <v>0</v>
      </c>
      <c r="F352" s="125">
        <v>1</v>
      </c>
      <c r="G352" s="6">
        <v>1.3</v>
      </c>
      <c r="H352" s="6">
        <v>1.75</v>
      </c>
      <c r="I352" s="6"/>
      <c r="J352" s="5">
        <v>1</v>
      </c>
      <c r="K352" s="7"/>
      <c r="L352" s="7">
        <f t="shared" si="30"/>
        <v>2.2749999999999999</v>
      </c>
      <c r="M352" s="103"/>
      <c r="N352" s="103"/>
      <c r="O352" s="103"/>
      <c r="P352" s="103"/>
    </row>
    <row r="353" spans="3:16" x14ac:dyDescent="0.3">
      <c r="C353" s="181"/>
      <c r="D353" s="4"/>
      <c r="E353" s="135" t="s">
        <v>0</v>
      </c>
      <c r="F353" s="125">
        <v>1</v>
      </c>
      <c r="G353" s="6">
        <v>2.2999999999999998</v>
      </c>
      <c r="H353" s="6">
        <v>1.75</v>
      </c>
      <c r="I353" s="6"/>
      <c r="J353" s="5">
        <v>1</v>
      </c>
      <c r="K353" s="7"/>
      <c r="L353" s="7">
        <f t="shared" si="30"/>
        <v>4.0249999999999995</v>
      </c>
      <c r="M353" s="103"/>
      <c r="N353" s="103"/>
      <c r="O353" s="103"/>
      <c r="P353" s="103"/>
    </row>
    <row r="354" spans="3:16" x14ac:dyDescent="0.3">
      <c r="C354" s="183"/>
      <c r="D354" s="4" t="s">
        <v>278</v>
      </c>
      <c r="E354" s="135" t="s">
        <v>0</v>
      </c>
      <c r="F354" s="125">
        <v>1</v>
      </c>
      <c r="G354" s="6">
        <v>2.4</v>
      </c>
      <c r="H354" s="6">
        <v>2.95</v>
      </c>
      <c r="I354" s="6"/>
      <c r="J354" s="5">
        <v>1</v>
      </c>
      <c r="K354" s="7"/>
      <c r="L354" s="7">
        <f t="shared" si="30"/>
        <v>7.08</v>
      </c>
      <c r="M354" s="103"/>
      <c r="N354" s="103"/>
      <c r="O354" s="103"/>
      <c r="P354" s="103"/>
    </row>
    <row r="355" spans="3:16" x14ac:dyDescent="0.3">
      <c r="C355" s="181"/>
      <c r="D355" s="4"/>
      <c r="E355" s="135" t="s">
        <v>0</v>
      </c>
      <c r="F355" s="125">
        <v>1</v>
      </c>
      <c r="G355" s="6">
        <v>2.4</v>
      </c>
      <c r="H355" s="6">
        <v>2.95</v>
      </c>
      <c r="I355" s="6"/>
      <c r="J355" s="5">
        <v>1</v>
      </c>
      <c r="K355" s="7"/>
      <c r="L355" s="7">
        <f t="shared" si="30"/>
        <v>7.08</v>
      </c>
      <c r="M355" s="103"/>
      <c r="N355" s="103"/>
      <c r="O355" s="103"/>
      <c r="P355" s="103"/>
    </row>
    <row r="356" spans="3:16" x14ac:dyDescent="0.3">
      <c r="C356" s="183"/>
      <c r="D356" s="4" t="s">
        <v>284</v>
      </c>
      <c r="E356" s="135" t="s">
        <v>0</v>
      </c>
      <c r="F356" s="125">
        <v>18</v>
      </c>
      <c r="G356" s="6" t="s">
        <v>156</v>
      </c>
      <c r="H356" s="6">
        <v>0.06</v>
      </c>
      <c r="I356" s="6"/>
      <c r="J356" s="5">
        <v>1</v>
      </c>
      <c r="K356" s="7"/>
      <c r="L356" s="7">
        <f t="shared" si="30"/>
        <v>1.08</v>
      </c>
      <c r="M356" s="103"/>
      <c r="N356" s="103"/>
      <c r="O356" s="103"/>
      <c r="P356" s="103"/>
    </row>
    <row r="357" spans="3:16" x14ac:dyDescent="0.3">
      <c r="C357" s="181"/>
      <c r="D357" s="4"/>
      <c r="E357" s="135" t="s">
        <v>0</v>
      </c>
      <c r="F357" s="125">
        <v>2</v>
      </c>
      <c r="G357" s="6" t="s">
        <v>156</v>
      </c>
      <c r="H357" s="6">
        <v>3.5</v>
      </c>
      <c r="I357" s="6"/>
      <c r="J357" s="5">
        <v>1</v>
      </c>
      <c r="K357" s="7"/>
      <c r="L357" s="7">
        <f t="shared" si="30"/>
        <v>7</v>
      </c>
      <c r="M357" s="103"/>
      <c r="N357" s="103"/>
      <c r="O357" s="103"/>
      <c r="P357" s="103"/>
    </row>
    <row r="358" spans="3:16" x14ac:dyDescent="0.3">
      <c r="C358" s="183"/>
      <c r="D358" s="4"/>
      <c r="E358" s="135" t="s">
        <v>0</v>
      </c>
      <c r="F358" s="125">
        <v>4</v>
      </c>
      <c r="G358" s="6" t="s">
        <v>156</v>
      </c>
      <c r="H358" s="6">
        <v>3.48</v>
      </c>
      <c r="I358" s="6"/>
      <c r="J358" s="5">
        <v>1</v>
      </c>
      <c r="K358" s="7"/>
      <c r="L358" s="7">
        <f t="shared" si="30"/>
        <v>13.92</v>
      </c>
      <c r="M358" s="103"/>
      <c r="N358" s="103"/>
      <c r="O358" s="103"/>
      <c r="P358" s="103"/>
    </row>
    <row r="359" spans="3:16" x14ac:dyDescent="0.3">
      <c r="C359" s="181"/>
      <c r="D359" s="120"/>
      <c r="E359" s="144"/>
      <c r="F359" s="119"/>
      <c r="G359" s="122"/>
      <c r="H359" s="122"/>
      <c r="I359" s="122"/>
      <c r="J359" s="3"/>
      <c r="K359" s="113"/>
      <c r="L359" s="113"/>
      <c r="M359" s="103"/>
      <c r="N359" s="103"/>
      <c r="O359" s="103"/>
      <c r="P359" s="103"/>
    </row>
    <row r="360" spans="3:16" x14ac:dyDescent="0.3">
      <c r="D360" s="120"/>
      <c r="E360" s="144"/>
      <c r="F360" s="119"/>
      <c r="G360" s="122"/>
      <c r="H360" s="122"/>
      <c r="I360" s="122"/>
      <c r="J360" s="3"/>
      <c r="K360" s="113"/>
      <c r="L360" s="113"/>
      <c r="M360" s="103"/>
      <c r="N360" s="103"/>
      <c r="O360" s="103"/>
      <c r="P360" s="103"/>
    </row>
    <row r="361" spans="3:16" x14ac:dyDescent="0.3">
      <c r="D361" s="120"/>
      <c r="E361" s="144"/>
      <c r="F361" s="119"/>
      <c r="G361" s="122"/>
      <c r="H361" s="122"/>
      <c r="I361" s="122"/>
      <c r="J361" s="3"/>
      <c r="K361" s="113"/>
      <c r="L361" s="113"/>
      <c r="M361" s="103"/>
      <c r="N361" s="103"/>
      <c r="O361" s="103"/>
      <c r="P361" s="103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7334-028F-4B33-8AD0-0BF25AD57D7D}">
  <dimension ref="A1:W440"/>
  <sheetViews>
    <sheetView view="pageBreakPreview" topLeftCell="B31" zoomScale="130" zoomScaleNormal="85" zoomScaleSheetLayoutView="130" workbookViewId="0">
      <selection activeCell="D25" sqref="D25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30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67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7" s="83" customFormat="1" ht="13.2" x14ac:dyDescent="0.3">
      <c r="A17" s="75"/>
      <c r="B17" s="76"/>
      <c r="C17" s="77"/>
      <c r="D17" s="78" t="s">
        <v>31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7" s="90" customFormat="1" x14ac:dyDescent="0.2">
      <c r="A18" s="84">
        <v>1</v>
      </c>
      <c r="B18" s="85"/>
      <c r="C18" s="155" t="s">
        <v>1186</v>
      </c>
      <c r="D18" s="87" t="s">
        <v>11</v>
      </c>
      <c r="E18" s="88"/>
      <c r="F18" s="1"/>
      <c r="G18" s="2"/>
      <c r="H18" s="2"/>
      <c r="I18" s="2"/>
      <c r="J18" s="3"/>
      <c r="K18" s="89"/>
      <c r="L18" s="89"/>
      <c r="M18" s="89"/>
      <c r="N18" s="89"/>
      <c r="O18" s="89"/>
      <c r="P18" s="89"/>
    </row>
    <row r="19" spans="1:17" s="14" customFormat="1" x14ac:dyDescent="0.2">
      <c r="A19" s="91">
        <v>2</v>
      </c>
      <c r="B19" s="92"/>
      <c r="C19" s="165" t="s">
        <v>1179</v>
      </c>
      <c r="D19" s="94" t="s">
        <v>89</v>
      </c>
      <c r="E19" s="95"/>
      <c r="F19" s="1"/>
      <c r="G19" s="2"/>
      <c r="H19" s="2"/>
      <c r="I19" s="2"/>
      <c r="J19" s="3"/>
      <c r="K19" s="96"/>
      <c r="L19" s="96"/>
      <c r="M19" s="96"/>
      <c r="N19" s="96"/>
      <c r="O19" s="96"/>
      <c r="P19" s="96"/>
    </row>
    <row r="20" spans="1:17" s="104" customFormat="1" x14ac:dyDescent="0.2">
      <c r="A20" s="98"/>
      <c r="B20" s="8"/>
      <c r="C20" s="99" t="s">
        <v>1180</v>
      </c>
      <c r="D20" s="100" t="s">
        <v>522</v>
      </c>
      <c r="E20" s="101" t="s">
        <v>0</v>
      </c>
      <c r="F20" s="1"/>
      <c r="G20" s="2"/>
      <c r="H20" s="2"/>
      <c r="I20" s="2"/>
      <c r="J20" s="102"/>
      <c r="K20" s="103"/>
      <c r="L20" s="103"/>
      <c r="M20" s="103"/>
      <c r="N20" s="103"/>
      <c r="O20" s="103"/>
      <c r="P20" s="103">
        <f>SUM(L20:L100)</f>
        <v>278.22510000000011</v>
      </c>
      <c r="Q20" s="8"/>
    </row>
    <row r="21" spans="1:17" s="104" customFormat="1" x14ac:dyDescent="0.2">
      <c r="A21" s="98"/>
      <c r="B21" s="105"/>
      <c r="C21" s="106"/>
      <c r="D21" s="107" t="s">
        <v>32</v>
      </c>
      <c r="E21" s="108"/>
      <c r="F21" s="109"/>
      <c r="G21" s="110"/>
      <c r="H21" s="110"/>
      <c r="I21" s="111"/>
      <c r="J21" s="112"/>
      <c r="K21" s="111"/>
      <c r="L21" s="111"/>
      <c r="M21" s="113"/>
      <c r="N21" s="113"/>
      <c r="O21" s="113"/>
      <c r="P21" s="113"/>
    </row>
    <row r="22" spans="1:17" s="104" customFormat="1" x14ac:dyDescent="0.2">
      <c r="A22" s="98"/>
      <c r="B22" s="105"/>
      <c r="C22" s="114"/>
      <c r="D22" s="115" t="s">
        <v>33</v>
      </c>
      <c r="E22" s="108"/>
      <c r="F22" s="109"/>
      <c r="G22" s="110"/>
      <c r="H22" s="110"/>
      <c r="I22" s="111"/>
      <c r="J22" s="112"/>
      <c r="K22" s="111"/>
      <c r="L22" s="111"/>
      <c r="M22" s="111"/>
      <c r="N22" s="111"/>
      <c r="O22" s="111"/>
      <c r="P22" s="111"/>
    </row>
    <row r="23" spans="1:17" s="104" customFormat="1" x14ac:dyDescent="0.2">
      <c r="A23" s="98"/>
      <c r="B23" s="105"/>
      <c r="C23" s="114"/>
      <c r="D23" s="4" t="s">
        <v>34</v>
      </c>
      <c r="E23" s="124" t="s">
        <v>0</v>
      </c>
      <c r="F23" s="5">
        <v>6</v>
      </c>
      <c r="G23" s="6">
        <v>0.46</v>
      </c>
      <c r="H23" s="6"/>
      <c r="I23" s="7">
        <v>3.15</v>
      </c>
      <c r="J23" s="125">
        <v>2</v>
      </c>
      <c r="K23" s="7"/>
      <c r="L23" s="7">
        <f>F23*G23*I23*J23</f>
        <v>17.388000000000002</v>
      </c>
      <c r="M23" s="111"/>
      <c r="N23" s="111"/>
      <c r="O23" s="111"/>
      <c r="P23" s="111"/>
    </row>
    <row r="24" spans="1:17" s="104" customFormat="1" x14ac:dyDescent="0.2">
      <c r="A24" s="98"/>
      <c r="B24" s="105"/>
      <c r="C24" s="114"/>
      <c r="D24" s="4"/>
      <c r="E24" s="124" t="s">
        <v>0</v>
      </c>
      <c r="F24" s="5">
        <v>3</v>
      </c>
      <c r="G24" s="6">
        <v>0.6</v>
      </c>
      <c r="H24" s="6"/>
      <c r="I24" s="7">
        <f>3.15-0.55</f>
        <v>2.5999999999999996</v>
      </c>
      <c r="J24" s="125">
        <v>1</v>
      </c>
      <c r="K24" s="7"/>
      <c r="L24" s="7">
        <f>F24*G24*I24*J24</f>
        <v>4.6799999999999988</v>
      </c>
      <c r="M24" s="111"/>
      <c r="N24" s="111"/>
      <c r="O24" s="111"/>
      <c r="P24" s="111"/>
    </row>
    <row r="25" spans="1:17" s="104" customFormat="1" x14ac:dyDescent="0.2">
      <c r="A25" s="98"/>
      <c r="B25" s="105"/>
      <c r="C25" s="114"/>
      <c r="D25" s="4" t="s">
        <v>90</v>
      </c>
      <c r="E25" s="124" t="s">
        <v>0</v>
      </c>
      <c r="F25" s="5">
        <v>1</v>
      </c>
      <c r="G25" s="6">
        <v>1</v>
      </c>
      <c r="H25" s="6"/>
      <c r="I25" s="7">
        <f>3.15-0.9</f>
        <v>2.25</v>
      </c>
      <c r="J25" s="125">
        <v>1</v>
      </c>
      <c r="K25" s="7"/>
      <c r="L25" s="7">
        <f t="shared" ref="L25:L49" si="0">F25*G25*I25*J25</f>
        <v>2.25</v>
      </c>
      <c r="M25" s="111"/>
      <c r="N25" s="111"/>
      <c r="O25" s="111"/>
      <c r="P25" s="111"/>
    </row>
    <row r="26" spans="1:17" s="104" customFormat="1" x14ac:dyDescent="0.2">
      <c r="A26" s="98"/>
      <c r="B26" s="105"/>
      <c r="C26" s="114"/>
      <c r="D26" s="4"/>
      <c r="E26" s="124" t="s">
        <v>0</v>
      </c>
      <c r="F26" s="5">
        <v>1</v>
      </c>
      <c r="G26" s="6">
        <v>1</v>
      </c>
      <c r="H26" s="6"/>
      <c r="I26" s="7">
        <f>3.15-0.9-1.5</f>
        <v>0.75</v>
      </c>
      <c r="J26" s="125">
        <v>1</v>
      </c>
      <c r="K26" s="7"/>
      <c r="L26" s="7">
        <f t="shared" ref="L26" si="1">F26*G26*I26*J26</f>
        <v>0.75</v>
      </c>
      <c r="M26" s="111"/>
      <c r="N26" s="111"/>
      <c r="O26" s="111"/>
      <c r="P26" s="111"/>
    </row>
    <row r="27" spans="1:17" s="104" customFormat="1" x14ac:dyDescent="0.2">
      <c r="A27" s="98"/>
      <c r="B27" s="105"/>
      <c r="C27" s="114"/>
      <c r="D27" s="4" t="s">
        <v>91</v>
      </c>
      <c r="E27" s="124" t="s">
        <v>0</v>
      </c>
      <c r="F27" s="5">
        <v>1</v>
      </c>
      <c r="G27" s="6">
        <v>0.8</v>
      </c>
      <c r="H27" s="6"/>
      <c r="I27" s="7">
        <f>3.15-0.9</f>
        <v>2.25</v>
      </c>
      <c r="J27" s="125">
        <v>1</v>
      </c>
      <c r="K27" s="7"/>
      <c r="L27" s="7">
        <f t="shared" si="0"/>
        <v>1.8</v>
      </c>
      <c r="M27" s="111"/>
      <c r="N27" s="111"/>
      <c r="O27" s="111"/>
      <c r="P27" s="111"/>
    </row>
    <row r="28" spans="1:17" s="104" customFormat="1" x14ac:dyDescent="0.2">
      <c r="A28" s="98"/>
      <c r="B28" s="105"/>
      <c r="C28" s="114"/>
      <c r="D28" s="4"/>
      <c r="E28" s="124" t="s">
        <v>0</v>
      </c>
      <c r="F28" s="5">
        <v>1</v>
      </c>
      <c r="G28" s="6">
        <v>0.8</v>
      </c>
      <c r="H28" s="6"/>
      <c r="I28" s="7">
        <f>3.15-0.9</f>
        <v>2.25</v>
      </c>
      <c r="J28" s="125">
        <v>1</v>
      </c>
      <c r="K28" s="7"/>
      <c r="L28" s="7">
        <f t="shared" ref="L28" si="2">F28*G28*I28*J28</f>
        <v>1.8</v>
      </c>
      <c r="M28" s="111"/>
      <c r="N28" s="111"/>
      <c r="O28" s="111"/>
      <c r="P28" s="111"/>
    </row>
    <row r="29" spans="1:17" s="104" customFormat="1" x14ac:dyDescent="0.2">
      <c r="A29" s="98"/>
      <c r="B29" s="105"/>
      <c r="C29" s="114"/>
      <c r="D29" s="4" t="s">
        <v>92</v>
      </c>
      <c r="E29" s="124" t="s">
        <v>0</v>
      </c>
      <c r="F29" s="5">
        <v>4</v>
      </c>
      <c r="G29" s="6">
        <v>0.45</v>
      </c>
      <c r="H29" s="6"/>
      <c r="I29" s="7">
        <v>3.3</v>
      </c>
      <c r="J29" s="125">
        <v>1</v>
      </c>
      <c r="K29" s="7"/>
      <c r="L29" s="7">
        <f t="shared" si="0"/>
        <v>5.9399999999999995</v>
      </c>
      <c r="M29" s="111"/>
      <c r="N29" s="111"/>
      <c r="O29" s="111"/>
      <c r="P29" s="111"/>
    </row>
    <row r="30" spans="1:17" s="104" customFormat="1" x14ac:dyDescent="0.2">
      <c r="A30" s="98"/>
      <c r="B30" s="105"/>
      <c r="C30" s="114"/>
      <c r="D30" s="4"/>
      <c r="E30" s="124" t="s">
        <v>0</v>
      </c>
      <c r="F30" s="5">
        <v>4</v>
      </c>
      <c r="G30" s="6">
        <v>0.45</v>
      </c>
      <c r="H30" s="6"/>
      <c r="I30" s="7">
        <v>1.6</v>
      </c>
      <c r="J30" s="125">
        <v>1</v>
      </c>
      <c r="K30" s="7"/>
      <c r="L30" s="7">
        <f t="shared" ref="L30:L32" si="3">F30*G30*I30*J30</f>
        <v>2.8800000000000003</v>
      </c>
      <c r="M30" s="111"/>
      <c r="N30" s="111"/>
      <c r="O30" s="111"/>
      <c r="P30" s="111"/>
    </row>
    <row r="31" spans="1:17" s="104" customFormat="1" x14ac:dyDescent="0.2">
      <c r="A31" s="98"/>
      <c r="B31" s="105"/>
      <c r="C31" s="114"/>
      <c r="D31" s="4"/>
      <c r="E31" s="124" t="s">
        <v>0</v>
      </c>
      <c r="F31" s="5">
        <v>1</v>
      </c>
      <c r="G31" s="6">
        <v>0.3</v>
      </c>
      <c r="H31" s="6"/>
      <c r="I31" s="7">
        <v>2</v>
      </c>
      <c r="J31" s="125">
        <v>1</v>
      </c>
      <c r="K31" s="7"/>
      <c r="L31" s="7">
        <f t="shared" si="3"/>
        <v>0.6</v>
      </c>
      <c r="M31" s="111"/>
      <c r="N31" s="111"/>
      <c r="O31" s="111"/>
      <c r="P31" s="111"/>
    </row>
    <row r="32" spans="1:17" s="104" customFormat="1" x14ac:dyDescent="0.2">
      <c r="A32" s="98"/>
      <c r="B32" s="105"/>
      <c r="C32" s="114"/>
      <c r="D32" s="4"/>
      <c r="E32" s="124" t="s">
        <v>0</v>
      </c>
      <c r="F32" s="5">
        <v>7</v>
      </c>
      <c r="G32" s="6">
        <v>0.45</v>
      </c>
      <c r="H32" s="6"/>
      <c r="I32" s="7">
        <v>1.8</v>
      </c>
      <c r="J32" s="125">
        <v>1</v>
      </c>
      <c r="K32" s="7"/>
      <c r="L32" s="7">
        <f t="shared" si="3"/>
        <v>5.67</v>
      </c>
      <c r="M32" s="111"/>
      <c r="N32" s="111"/>
      <c r="O32" s="111"/>
      <c r="P32" s="111"/>
    </row>
    <row r="33" spans="1:16" s="104" customFormat="1" x14ac:dyDescent="0.2">
      <c r="A33" s="98"/>
      <c r="B33" s="105"/>
      <c r="C33" s="114"/>
      <c r="D33" s="4" t="s">
        <v>93</v>
      </c>
      <c r="E33" s="124" t="s">
        <v>0</v>
      </c>
      <c r="F33" s="5">
        <v>1</v>
      </c>
      <c r="G33" s="6">
        <v>0.96</v>
      </c>
      <c r="H33" s="6"/>
      <c r="I33" s="7">
        <v>0.6</v>
      </c>
      <c r="J33" s="125">
        <v>1</v>
      </c>
      <c r="K33" s="7"/>
      <c r="L33" s="7">
        <f>F33*G33*I33*J33</f>
        <v>0.57599999999999996</v>
      </c>
      <c r="M33" s="111"/>
      <c r="N33" s="111"/>
      <c r="O33" s="111"/>
      <c r="P33" s="111"/>
    </row>
    <row r="34" spans="1:16" s="104" customFormat="1" x14ac:dyDescent="0.2">
      <c r="A34" s="98"/>
      <c r="B34" s="105"/>
      <c r="C34" s="114"/>
      <c r="D34" s="4"/>
      <c r="E34" s="124" t="s">
        <v>0</v>
      </c>
      <c r="F34" s="5">
        <v>1</v>
      </c>
      <c r="G34" s="6">
        <v>0.5</v>
      </c>
      <c r="H34" s="6"/>
      <c r="I34" s="7">
        <v>3.1</v>
      </c>
      <c r="J34" s="125">
        <v>1</v>
      </c>
      <c r="K34" s="7"/>
      <c r="L34" s="7">
        <f>F34*G34*I34*J34</f>
        <v>1.55</v>
      </c>
      <c r="M34" s="111"/>
      <c r="N34" s="111"/>
      <c r="O34" s="111"/>
      <c r="P34" s="111"/>
    </row>
    <row r="35" spans="1:16" s="104" customFormat="1" x14ac:dyDescent="0.2">
      <c r="A35" s="98"/>
      <c r="B35" s="105"/>
      <c r="C35" s="114"/>
      <c r="D35" s="4"/>
      <c r="E35" s="124" t="s">
        <v>0</v>
      </c>
      <c r="F35" s="5">
        <v>7</v>
      </c>
      <c r="G35" s="6">
        <v>0.45</v>
      </c>
      <c r="H35" s="6"/>
      <c r="I35" s="7">
        <v>3.1</v>
      </c>
      <c r="J35" s="125">
        <v>1</v>
      </c>
      <c r="K35" s="7"/>
      <c r="L35" s="7">
        <f t="shared" ref="L35:L36" si="4">F35*G35*I35*J35</f>
        <v>9.7650000000000006</v>
      </c>
      <c r="M35" s="111"/>
      <c r="N35" s="111"/>
      <c r="O35" s="111"/>
      <c r="P35" s="111"/>
    </row>
    <row r="36" spans="1:16" s="104" customFormat="1" x14ac:dyDescent="0.2">
      <c r="A36" s="98"/>
      <c r="B36" s="105"/>
      <c r="C36" s="114"/>
      <c r="D36" s="4" t="s">
        <v>94</v>
      </c>
      <c r="E36" s="124" t="s">
        <v>0</v>
      </c>
      <c r="F36" s="5">
        <v>1</v>
      </c>
      <c r="G36" s="6">
        <v>0.62</v>
      </c>
      <c r="H36" s="6"/>
      <c r="I36" s="7">
        <f>2.25-1.5</f>
        <v>0.75</v>
      </c>
      <c r="J36" s="125">
        <v>1</v>
      </c>
      <c r="K36" s="7"/>
      <c r="L36" s="7">
        <f t="shared" si="4"/>
        <v>0.46499999999999997</v>
      </c>
      <c r="M36" s="111"/>
      <c r="N36" s="111"/>
      <c r="O36" s="111"/>
      <c r="P36" s="111"/>
    </row>
    <row r="37" spans="1:16" s="104" customFormat="1" x14ac:dyDescent="0.2">
      <c r="A37" s="98"/>
      <c r="B37" s="105"/>
      <c r="C37" s="114"/>
      <c r="D37" s="4"/>
      <c r="E37" s="124" t="s">
        <v>0</v>
      </c>
      <c r="F37" s="5">
        <v>1</v>
      </c>
      <c r="G37" s="6">
        <v>0.91</v>
      </c>
      <c r="H37" s="6"/>
      <c r="I37" s="7">
        <v>2.25</v>
      </c>
      <c r="J37" s="125">
        <v>1</v>
      </c>
      <c r="K37" s="7"/>
      <c r="L37" s="7">
        <f t="shared" ref="L37:L38" si="5">F37*G37*I37*J37</f>
        <v>2.0474999999999999</v>
      </c>
      <c r="M37" s="111"/>
      <c r="N37" s="111"/>
      <c r="O37" s="111"/>
      <c r="P37" s="111"/>
    </row>
    <row r="38" spans="1:16" s="104" customFormat="1" x14ac:dyDescent="0.2">
      <c r="A38" s="98"/>
      <c r="B38" s="105"/>
      <c r="C38" s="114"/>
      <c r="D38" s="4" t="s">
        <v>95</v>
      </c>
      <c r="E38" s="124" t="s">
        <v>0</v>
      </c>
      <c r="F38" s="5">
        <v>1</v>
      </c>
      <c r="G38" s="6">
        <v>0.62</v>
      </c>
      <c r="H38" s="6"/>
      <c r="I38" s="7">
        <f>2.25-1.5</f>
        <v>0.75</v>
      </c>
      <c r="J38" s="125">
        <v>1</v>
      </c>
      <c r="K38" s="7"/>
      <c r="L38" s="7">
        <f t="shared" si="5"/>
        <v>0.46499999999999997</v>
      </c>
      <c r="M38" s="111"/>
      <c r="N38" s="111"/>
      <c r="O38" s="111"/>
      <c r="P38" s="111"/>
    </row>
    <row r="39" spans="1:16" s="104" customFormat="1" x14ac:dyDescent="0.2">
      <c r="A39" s="98"/>
      <c r="B39" s="105"/>
      <c r="C39" s="114"/>
      <c r="D39" s="4"/>
      <c r="E39" s="124" t="s">
        <v>0</v>
      </c>
      <c r="F39" s="5">
        <v>1</v>
      </c>
      <c r="G39" s="6">
        <v>0.95</v>
      </c>
      <c r="H39" s="6"/>
      <c r="I39" s="7">
        <v>2.25</v>
      </c>
      <c r="J39" s="125">
        <v>1</v>
      </c>
      <c r="K39" s="7"/>
      <c r="L39" s="7">
        <f t="shared" ref="L39:L40" si="6">F39*G39*I39*J39</f>
        <v>2.1374999999999997</v>
      </c>
      <c r="M39" s="111"/>
      <c r="N39" s="111"/>
      <c r="O39" s="111"/>
      <c r="P39" s="111"/>
    </row>
    <row r="40" spans="1:16" s="104" customFormat="1" x14ac:dyDescent="0.2">
      <c r="A40" s="98"/>
      <c r="B40" s="105"/>
      <c r="C40" s="114"/>
      <c r="D40" s="4" t="s">
        <v>96</v>
      </c>
      <c r="E40" s="124" t="s">
        <v>0</v>
      </c>
      <c r="F40" s="5">
        <v>1</v>
      </c>
      <c r="G40" s="6">
        <v>1.07</v>
      </c>
      <c r="H40" s="6"/>
      <c r="I40" s="7">
        <v>3</v>
      </c>
      <c r="J40" s="125">
        <v>2</v>
      </c>
      <c r="K40" s="7"/>
      <c r="L40" s="7">
        <f t="shared" si="6"/>
        <v>6.42</v>
      </c>
      <c r="M40" s="111"/>
      <c r="N40" s="111"/>
      <c r="O40" s="111"/>
      <c r="P40" s="111"/>
    </row>
    <row r="41" spans="1:16" s="104" customFormat="1" x14ac:dyDescent="0.2">
      <c r="A41" s="98"/>
      <c r="B41" s="105"/>
      <c r="C41" s="114"/>
      <c r="D41" s="4" t="s">
        <v>97</v>
      </c>
      <c r="E41" s="124" t="s">
        <v>0</v>
      </c>
      <c r="F41" s="5">
        <v>1</v>
      </c>
      <c r="G41" s="6">
        <v>1.07</v>
      </c>
      <c r="H41" s="6"/>
      <c r="I41" s="7">
        <v>3</v>
      </c>
      <c r="J41" s="125">
        <v>2</v>
      </c>
      <c r="K41" s="7"/>
      <c r="L41" s="7">
        <f t="shared" ref="L41:L43" si="7">F41*G41*I41*J41</f>
        <v>6.42</v>
      </c>
      <c r="M41" s="111"/>
      <c r="N41" s="111"/>
      <c r="O41" s="111"/>
      <c r="P41" s="111"/>
    </row>
    <row r="42" spans="1:16" s="104" customFormat="1" x14ac:dyDescent="0.2">
      <c r="A42" s="98"/>
      <c r="B42" s="105"/>
      <c r="C42" s="114"/>
      <c r="D42" s="4" t="s">
        <v>36</v>
      </c>
      <c r="E42" s="124" t="s">
        <v>0</v>
      </c>
      <c r="F42" s="5">
        <v>1</v>
      </c>
      <c r="G42" s="6">
        <v>0.97</v>
      </c>
      <c r="H42" s="6"/>
      <c r="I42" s="7">
        <v>2.08</v>
      </c>
      <c r="J42" s="125">
        <v>1</v>
      </c>
      <c r="K42" s="7"/>
      <c r="L42" s="7">
        <f t="shared" si="7"/>
        <v>2.0175999999999998</v>
      </c>
      <c r="M42" s="111"/>
      <c r="N42" s="111"/>
      <c r="O42" s="111"/>
      <c r="P42" s="111"/>
    </row>
    <row r="43" spans="1:16" s="104" customFormat="1" x14ac:dyDescent="0.2">
      <c r="A43" s="98"/>
      <c r="B43" s="105"/>
      <c r="C43" s="114"/>
      <c r="D43" s="4"/>
      <c r="E43" s="124" t="s">
        <v>0</v>
      </c>
      <c r="F43" s="5">
        <v>1</v>
      </c>
      <c r="G43" s="6">
        <v>0.52</v>
      </c>
      <c r="H43" s="6"/>
      <c r="I43" s="7">
        <v>2.08</v>
      </c>
      <c r="J43" s="125">
        <v>1</v>
      </c>
      <c r="K43" s="7"/>
      <c r="L43" s="7">
        <f t="shared" si="7"/>
        <v>1.0816000000000001</v>
      </c>
      <c r="M43" s="111"/>
      <c r="N43" s="111"/>
      <c r="O43" s="111"/>
      <c r="P43" s="111"/>
    </row>
    <row r="44" spans="1:16" s="104" customFormat="1" x14ac:dyDescent="0.2">
      <c r="A44" s="98"/>
      <c r="B44" s="105"/>
      <c r="C44" s="114"/>
      <c r="D44" s="4" t="s">
        <v>37</v>
      </c>
      <c r="E44" s="124" t="s">
        <v>0</v>
      </c>
      <c r="F44" s="5">
        <v>1</v>
      </c>
      <c r="G44" s="6">
        <v>1.53</v>
      </c>
      <c r="H44" s="6"/>
      <c r="I44" s="7">
        <v>1.9</v>
      </c>
      <c r="J44" s="125">
        <v>1</v>
      </c>
      <c r="K44" s="7"/>
      <c r="L44" s="7">
        <f t="shared" si="0"/>
        <v>2.907</v>
      </c>
      <c r="M44" s="111"/>
      <c r="N44" s="111"/>
      <c r="O44" s="111"/>
      <c r="P44" s="111"/>
    </row>
    <row r="45" spans="1:16" s="104" customFormat="1" x14ac:dyDescent="0.2">
      <c r="A45" s="98"/>
      <c r="B45" s="105"/>
      <c r="C45" s="114"/>
      <c r="D45" s="4" t="s">
        <v>38</v>
      </c>
      <c r="E45" s="124" t="s">
        <v>0</v>
      </c>
      <c r="F45" s="5">
        <v>1</v>
      </c>
      <c r="G45" s="6">
        <v>1.88</v>
      </c>
      <c r="H45" s="6"/>
      <c r="I45" s="7">
        <v>1.73</v>
      </c>
      <c r="J45" s="125">
        <v>1</v>
      </c>
      <c r="K45" s="7"/>
      <c r="L45" s="7">
        <f t="shared" si="0"/>
        <v>3.2523999999999997</v>
      </c>
      <c r="M45" s="111"/>
      <c r="N45" s="111"/>
      <c r="O45" s="111"/>
      <c r="P45" s="111"/>
    </row>
    <row r="46" spans="1:16" s="104" customFormat="1" x14ac:dyDescent="0.2">
      <c r="A46" s="98"/>
      <c r="B46" s="105"/>
      <c r="C46" s="114"/>
      <c r="D46" s="4" t="s">
        <v>39</v>
      </c>
      <c r="E46" s="124" t="s">
        <v>0</v>
      </c>
      <c r="F46" s="5">
        <v>1</v>
      </c>
      <c r="G46" s="6">
        <v>2.23</v>
      </c>
      <c r="H46" s="6"/>
      <c r="I46" s="7">
        <v>1.67</v>
      </c>
      <c r="J46" s="125">
        <v>1</v>
      </c>
      <c r="K46" s="7"/>
      <c r="L46" s="7">
        <f t="shared" si="0"/>
        <v>3.7241</v>
      </c>
      <c r="M46" s="111"/>
      <c r="N46" s="111"/>
      <c r="O46" s="111"/>
      <c r="P46" s="111"/>
    </row>
    <row r="47" spans="1:16" s="104" customFormat="1" x14ac:dyDescent="0.2">
      <c r="A47" s="98"/>
      <c r="B47" s="105"/>
      <c r="C47" s="114"/>
      <c r="D47" s="4" t="s">
        <v>40</v>
      </c>
      <c r="E47" s="124" t="s">
        <v>0</v>
      </c>
      <c r="F47" s="5">
        <v>1</v>
      </c>
      <c r="G47" s="6">
        <v>2.23</v>
      </c>
      <c r="H47" s="6"/>
      <c r="I47" s="7">
        <v>1.51</v>
      </c>
      <c r="J47" s="125">
        <v>1</v>
      </c>
      <c r="K47" s="7"/>
      <c r="L47" s="7">
        <f t="shared" si="0"/>
        <v>3.3673000000000002</v>
      </c>
      <c r="M47" s="111"/>
      <c r="N47" s="111"/>
      <c r="O47" s="111"/>
      <c r="P47" s="111"/>
    </row>
    <row r="48" spans="1:16" s="104" customFormat="1" x14ac:dyDescent="0.2">
      <c r="A48" s="98"/>
      <c r="B48" s="105"/>
      <c r="C48" s="114"/>
      <c r="D48" s="4" t="s">
        <v>41</v>
      </c>
      <c r="E48" s="124" t="s">
        <v>0</v>
      </c>
      <c r="F48" s="5">
        <v>1</v>
      </c>
      <c r="G48" s="6">
        <v>2.23</v>
      </c>
      <c r="H48" s="6"/>
      <c r="I48" s="7">
        <v>1.27</v>
      </c>
      <c r="J48" s="125">
        <v>1</v>
      </c>
      <c r="K48" s="7"/>
      <c r="L48" s="7">
        <f t="shared" si="0"/>
        <v>2.8321000000000001</v>
      </c>
      <c r="M48" s="111"/>
      <c r="N48" s="111"/>
      <c r="O48" s="111"/>
      <c r="P48" s="111"/>
    </row>
    <row r="49" spans="1:16" s="104" customFormat="1" x14ac:dyDescent="0.2">
      <c r="A49" s="98"/>
      <c r="B49" s="105"/>
      <c r="C49" s="114"/>
      <c r="D49" s="4" t="s">
        <v>42</v>
      </c>
      <c r="E49" s="124" t="s">
        <v>0</v>
      </c>
      <c r="F49" s="5">
        <v>1</v>
      </c>
      <c r="G49" s="6">
        <v>1.5</v>
      </c>
      <c r="H49" s="6"/>
      <c r="I49" s="7">
        <v>1.08</v>
      </c>
      <c r="J49" s="125">
        <v>1</v>
      </c>
      <c r="K49" s="7"/>
      <c r="L49" s="7">
        <f t="shared" si="0"/>
        <v>1.62</v>
      </c>
      <c r="M49" s="111"/>
      <c r="N49" s="111"/>
      <c r="O49" s="111"/>
      <c r="P49" s="111"/>
    </row>
    <row r="50" spans="1:16" s="104" customFormat="1" x14ac:dyDescent="0.2">
      <c r="A50" s="98"/>
      <c r="B50" s="105"/>
      <c r="C50" s="114"/>
      <c r="D50" s="115" t="s">
        <v>43</v>
      </c>
      <c r="E50" s="10"/>
      <c r="F50" s="109"/>
      <c r="G50" s="110"/>
      <c r="H50" s="110"/>
      <c r="I50" s="111"/>
      <c r="J50" s="112"/>
      <c r="K50" s="111"/>
      <c r="L50" s="111"/>
      <c r="M50" s="111"/>
      <c r="N50" s="111"/>
      <c r="O50" s="111"/>
      <c r="P50" s="111"/>
    </row>
    <row r="51" spans="1:16" s="104" customFormat="1" x14ac:dyDescent="0.2">
      <c r="A51" s="98"/>
      <c r="B51" s="105"/>
      <c r="C51" s="114"/>
      <c r="D51" s="4" t="s">
        <v>34</v>
      </c>
      <c r="E51" s="124" t="s">
        <v>0</v>
      </c>
      <c r="F51" s="5">
        <v>4</v>
      </c>
      <c r="G51" s="6">
        <v>1.51</v>
      </c>
      <c r="H51" s="6"/>
      <c r="I51" s="7">
        <v>2.1</v>
      </c>
      <c r="J51" s="125">
        <v>1</v>
      </c>
      <c r="K51" s="7"/>
      <c r="L51" s="7">
        <f>F51*G51*I51*J51</f>
        <v>12.684000000000001</v>
      </c>
      <c r="M51" s="111"/>
      <c r="N51" s="111"/>
      <c r="O51" s="111"/>
      <c r="P51" s="111"/>
    </row>
    <row r="52" spans="1:16" s="104" customFormat="1" x14ac:dyDescent="0.2">
      <c r="A52" s="98"/>
      <c r="B52" s="105"/>
      <c r="C52" s="114"/>
      <c r="D52" s="4" t="s">
        <v>100</v>
      </c>
      <c r="E52" s="124" t="s">
        <v>0</v>
      </c>
      <c r="F52" s="5">
        <v>1</v>
      </c>
      <c r="G52" s="6">
        <v>1.46</v>
      </c>
      <c r="H52" s="6"/>
      <c r="I52" s="7">
        <v>2.1</v>
      </c>
      <c r="J52" s="125">
        <v>1</v>
      </c>
      <c r="K52" s="7"/>
      <c r="L52" s="7">
        <f>F52*G52*I52*J52</f>
        <v>3.0659999999999998</v>
      </c>
      <c r="M52" s="111"/>
      <c r="N52" s="111"/>
      <c r="O52" s="111"/>
      <c r="P52" s="111"/>
    </row>
    <row r="53" spans="1:16" s="104" customFormat="1" x14ac:dyDescent="0.2">
      <c r="A53" s="98"/>
      <c r="B53" s="105"/>
      <c r="C53" s="114"/>
      <c r="D53" s="4"/>
      <c r="E53" s="124" t="s">
        <v>0</v>
      </c>
      <c r="F53" s="5">
        <v>4</v>
      </c>
      <c r="G53" s="6">
        <v>0.45</v>
      </c>
      <c r="H53" s="6"/>
      <c r="I53" s="7">
        <v>2.1</v>
      </c>
      <c r="J53" s="125">
        <v>1</v>
      </c>
      <c r="K53" s="7"/>
      <c r="L53" s="7">
        <f>F53*G53*I53*J53</f>
        <v>3.7800000000000002</v>
      </c>
      <c r="M53" s="111"/>
      <c r="N53" s="111"/>
      <c r="O53" s="111"/>
      <c r="P53" s="111"/>
    </row>
    <row r="54" spans="1:16" s="104" customFormat="1" x14ac:dyDescent="0.2">
      <c r="A54" s="98"/>
      <c r="B54" s="105"/>
      <c r="C54" s="114"/>
      <c r="D54" s="4" t="s">
        <v>101</v>
      </c>
      <c r="E54" s="124" t="s">
        <v>0</v>
      </c>
      <c r="F54" s="5">
        <v>8</v>
      </c>
      <c r="G54" s="6">
        <v>0.45</v>
      </c>
      <c r="H54" s="6"/>
      <c r="I54" s="7">
        <v>2.1</v>
      </c>
      <c r="J54" s="125">
        <v>1</v>
      </c>
      <c r="K54" s="7"/>
      <c r="L54" s="7">
        <f>F54*G54*I54*J54</f>
        <v>7.5600000000000005</v>
      </c>
      <c r="M54" s="111"/>
      <c r="N54" s="111"/>
      <c r="O54" s="111"/>
      <c r="P54" s="111"/>
    </row>
    <row r="55" spans="1:16" s="104" customFormat="1" x14ac:dyDescent="0.2">
      <c r="A55" s="98"/>
      <c r="B55" s="105"/>
      <c r="C55" s="114"/>
      <c r="D55" s="115" t="s">
        <v>44</v>
      </c>
      <c r="E55" s="10"/>
      <c r="F55" s="109"/>
      <c r="G55" s="110"/>
      <c r="H55" s="110"/>
      <c r="I55" s="111"/>
      <c r="J55" s="112"/>
      <c r="K55" s="111"/>
      <c r="L55" s="111"/>
      <c r="M55" s="111"/>
      <c r="N55" s="111"/>
      <c r="O55" s="111"/>
      <c r="P55" s="111"/>
    </row>
    <row r="56" spans="1:16" s="104" customFormat="1" x14ac:dyDescent="0.2">
      <c r="A56" s="98"/>
      <c r="B56" s="105"/>
      <c r="C56" s="114"/>
      <c r="D56" s="4" t="s">
        <v>34</v>
      </c>
      <c r="E56" s="124" t="s">
        <v>0</v>
      </c>
      <c r="F56" s="5">
        <v>4</v>
      </c>
      <c r="G56" s="6">
        <v>1.51</v>
      </c>
      <c r="H56" s="6"/>
      <c r="I56" s="7">
        <v>1.2</v>
      </c>
      <c r="J56" s="125">
        <v>1</v>
      </c>
      <c r="K56" s="7"/>
      <c r="L56" s="7">
        <f>F56*G56*I56*J56</f>
        <v>7.2479999999999993</v>
      </c>
      <c r="M56" s="111"/>
      <c r="N56" s="111"/>
      <c r="O56" s="111"/>
      <c r="P56" s="111"/>
    </row>
    <row r="57" spans="1:16" s="104" customFormat="1" x14ac:dyDescent="0.2">
      <c r="A57" s="98"/>
      <c r="B57" s="105"/>
      <c r="C57" s="114"/>
      <c r="D57" s="4" t="s">
        <v>100</v>
      </c>
      <c r="E57" s="124" t="s">
        <v>0</v>
      </c>
      <c r="F57" s="5">
        <v>1</v>
      </c>
      <c r="G57" s="6">
        <v>1.46</v>
      </c>
      <c r="H57" s="6"/>
      <c r="I57" s="7">
        <v>1.2</v>
      </c>
      <c r="J57" s="125">
        <v>1</v>
      </c>
      <c r="K57" s="7"/>
      <c r="L57" s="7">
        <f>F57*G57*I57*J57</f>
        <v>1.752</v>
      </c>
      <c r="M57" s="111"/>
      <c r="N57" s="111"/>
      <c r="O57" s="111"/>
      <c r="P57" s="111"/>
    </row>
    <row r="58" spans="1:16" s="104" customFormat="1" x14ac:dyDescent="0.2">
      <c r="A58" s="98"/>
      <c r="B58" s="105"/>
      <c r="C58" s="114"/>
      <c r="D58" s="4"/>
      <c r="E58" s="124" t="s">
        <v>0</v>
      </c>
      <c r="F58" s="5">
        <v>4</v>
      </c>
      <c r="G58" s="6">
        <v>0.45</v>
      </c>
      <c r="H58" s="6"/>
      <c r="I58" s="7">
        <v>1.2</v>
      </c>
      <c r="J58" s="125">
        <v>1</v>
      </c>
      <c r="K58" s="7"/>
      <c r="L58" s="7">
        <f>F58*G58*I58*J58</f>
        <v>2.16</v>
      </c>
      <c r="M58" s="111"/>
      <c r="N58" s="111"/>
      <c r="O58" s="111"/>
      <c r="P58" s="111"/>
    </row>
    <row r="59" spans="1:16" s="104" customFormat="1" x14ac:dyDescent="0.2">
      <c r="A59" s="98"/>
      <c r="B59" s="105"/>
      <c r="C59" s="114"/>
      <c r="D59" s="4" t="s">
        <v>101</v>
      </c>
      <c r="E59" s="124" t="s">
        <v>0</v>
      </c>
      <c r="F59" s="5">
        <v>1</v>
      </c>
      <c r="G59" s="6">
        <v>1.46</v>
      </c>
      <c r="H59" s="6"/>
      <c r="I59" s="7">
        <v>1.2</v>
      </c>
      <c r="J59" s="125">
        <v>1</v>
      </c>
      <c r="K59" s="7"/>
      <c r="L59" s="7">
        <f>F59*G59*I59*J59</f>
        <v>1.752</v>
      </c>
      <c r="M59" s="111"/>
      <c r="N59" s="111"/>
      <c r="O59" s="111"/>
      <c r="P59" s="111"/>
    </row>
    <row r="60" spans="1:16" s="104" customFormat="1" x14ac:dyDescent="0.2">
      <c r="A60" s="98"/>
      <c r="B60" s="105"/>
      <c r="C60" s="114"/>
      <c r="D60" s="4"/>
      <c r="E60" s="124" t="s">
        <v>0</v>
      </c>
      <c r="F60" s="5">
        <v>9</v>
      </c>
      <c r="G60" s="6">
        <v>0.45</v>
      </c>
      <c r="H60" s="6"/>
      <c r="I60" s="7">
        <v>1.2</v>
      </c>
      <c r="J60" s="125">
        <v>1</v>
      </c>
      <c r="K60" s="7"/>
      <c r="L60" s="7">
        <f>F60*G60*I60*J60</f>
        <v>4.8599999999999994</v>
      </c>
      <c r="M60" s="111"/>
      <c r="N60" s="111"/>
      <c r="O60" s="111"/>
      <c r="P60" s="111"/>
    </row>
    <row r="61" spans="1:16" s="104" customFormat="1" x14ac:dyDescent="0.2">
      <c r="A61" s="98"/>
      <c r="B61" s="105"/>
      <c r="C61" s="114"/>
      <c r="D61" s="115" t="s">
        <v>45</v>
      </c>
      <c r="E61" s="10"/>
      <c r="F61" s="109"/>
      <c r="G61" s="110"/>
      <c r="H61" s="110"/>
      <c r="I61" s="111"/>
      <c r="J61" s="112"/>
      <c r="K61" s="111"/>
      <c r="L61" s="111"/>
      <c r="M61" s="111"/>
      <c r="N61" s="111"/>
      <c r="O61" s="111"/>
      <c r="P61" s="111"/>
    </row>
    <row r="62" spans="1:16" s="104" customFormat="1" x14ac:dyDescent="0.2">
      <c r="A62" s="98"/>
      <c r="B62" s="105"/>
      <c r="C62" s="114"/>
      <c r="D62" s="4" t="s">
        <v>34</v>
      </c>
      <c r="E62" s="124" t="s">
        <v>0</v>
      </c>
      <c r="F62" s="5">
        <v>4</v>
      </c>
      <c r="G62" s="6">
        <v>1.51</v>
      </c>
      <c r="H62" s="6"/>
      <c r="I62" s="7">
        <v>1.6</v>
      </c>
      <c r="J62" s="125">
        <v>1</v>
      </c>
      <c r="K62" s="7"/>
      <c r="L62" s="7">
        <f>F62*G62*I62*J62</f>
        <v>9.6640000000000015</v>
      </c>
      <c r="M62" s="111"/>
      <c r="N62" s="111"/>
      <c r="O62" s="111"/>
      <c r="P62" s="111"/>
    </row>
    <row r="63" spans="1:16" s="104" customFormat="1" x14ac:dyDescent="0.2">
      <c r="A63" s="98"/>
      <c r="B63" s="105"/>
      <c r="C63" s="114"/>
      <c r="D63" s="4" t="s">
        <v>100</v>
      </c>
      <c r="E63" s="124" t="s">
        <v>0</v>
      </c>
      <c r="F63" s="5">
        <v>1</v>
      </c>
      <c r="G63" s="6">
        <v>1.46</v>
      </c>
      <c r="H63" s="6"/>
      <c r="I63" s="7">
        <v>1.6</v>
      </c>
      <c r="J63" s="125">
        <v>1</v>
      </c>
      <c r="K63" s="7"/>
      <c r="L63" s="7">
        <f t="shared" ref="L63:L87" si="8">F63*G63*I63*J63</f>
        <v>2.3359999999999999</v>
      </c>
      <c r="M63" s="111"/>
      <c r="N63" s="111"/>
      <c r="O63" s="111"/>
      <c r="P63" s="111"/>
    </row>
    <row r="64" spans="1:16" s="104" customFormat="1" x14ac:dyDescent="0.2">
      <c r="A64" s="98"/>
      <c r="B64" s="105"/>
      <c r="C64" s="114"/>
      <c r="D64" s="4"/>
      <c r="E64" s="124" t="s">
        <v>0</v>
      </c>
      <c r="F64" s="5">
        <v>6</v>
      </c>
      <c r="G64" s="6">
        <v>0.45</v>
      </c>
      <c r="H64" s="6"/>
      <c r="I64" s="7">
        <v>1.6</v>
      </c>
      <c r="J64" s="125">
        <v>1</v>
      </c>
      <c r="K64" s="7"/>
      <c r="L64" s="7">
        <f t="shared" ref="L64:L65" si="9">F64*G64*I64*J64</f>
        <v>4.32</v>
      </c>
      <c r="M64" s="111"/>
      <c r="N64" s="111"/>
      <c r="O64" s="111"/>
      <c r="P64" s="111"/>
    </row>
    <row r="65" spans="1:16" s="104" customFormat="1" x14ac:dyDescent="0.2">
      <c r="A65" s="98"/>
      <c r="B65" s="105"/>
      <c r="C65" s="114"/>
      <c r="D65" s="4" t="s">
        <v>101</v>
      </c>
      <c r="E65" s="124" t="s">
        <v>0</v>
      </c>
      <c r="F65" s="5">
        <v>1</v>
      </c>
      <c r="G65" s="6">
        <v>1.46</v>
      </c>
      <c r="H65" s="6"/>
      <c r="I65" s="7">
        <v>1.6</v>
      </c>
      <c r="J65" s="125">
        <v>1</v>
      </c>
      <c r="K65" s="7"/>
      <c r="L65" s="7">
        <f t="shared" si="9"/>
        <v>2.3359999999999999</v>
      </c>
      <c r="M65" s="111"/>
      <c r="N65" s="111"/>
      <c r="O65" s="111"/>
      <c r="P65" s="111"/>
    </row>
    <row r="66" spans="1:16" s="104" customFormat="1" x14ac:dyDescent="0.2">
      <c r="A66" s="98"/>
      <c r="B66" s="105"/>
      <c r="C66" s="114"/>
      <c r="D66" s="4"/>
      <c r="E66" s="124" t="s">
        <v>0</v>
      </c>
      <c r="F66" s="5">
        <v>9</v>
      </c>
      <c r="G66" s="6">
        <v>0.45</v>
      </c>
      <c r="H66" s="6"/>
      <c r="I66" s="7">
        <v>1.6</v>
      </c>
      <c r="J66" s="125">
        <v>1</v>
      </c>
      <c r="K66" s="7"/>
      <c r="L66" s="7">
        <f t="shared" ref="L66" si="10">F66*G66*I66*J66</f>
        <v>6.48</v>
      </c>
      <c r="M66" s="111"/>
      <c r="N66" s="111"/>
      <c r="O66" s="111"/>
      <c r="P66" s="111"/>
    </row>
    <row r="67" spans="1:16" s="104" customFormat="1" x14ac:dyDescent="0.2">
      <c r="A67" s="98"/>
      <c r="B67" s="105"/>
      <c r="C67" s="114"/>
      <c r="D67" s="115" t="s">
        <v>50</v>
      </c>
      <c r="E67" s="116"/>
      <c r="F67" s="109"/>
      <c r="G67" s="110"/>
      <c r="H67" s="110"/>
      <c r="I67" s="111"/>
      <c r="J67" s="112"/>
      <c r="K67" s="111"/>
      <c r="L67" s="111"/>
      <c r="M67" s="111"/>
      <c r="N67" s="111"/>
      <c r="O67" s="111"/>
      <c r="P67" s="111"/>
    </row>
    <row r="68" spans="1:16" s="104" customFormat="1" x14ac:dyDescent="0.2">
      <c r="A68" s="98"/>
      <c r="B68" s="105"/>
      <c r="C68" s="114"/>
      <c r="D68" s="4" t="s">
        <v>34</v>
      </c>
      <c r="E68" s="124" t="s">
        <v>0</v>
      </c>
      <c r="F68" s="5">
        <v>4</v>
      </c>
      <c r="G68" s="6">
        <v>1.51</v>
      </c>
      <c r="H68" s="6"/>
      <c r="I68" s="7">
        <v>1.2</v>
      </c>
      <c r="J68" s="125">
        <v>1</v>
      </c>
      <c r="K68" s="7"/>
      <c r="L68" s="7">
        <f>F68*G68*I68*J68</f>
        <v>7.2479999999999993</v>
      </c>
      <c r="M68" s="111"/>
      <c r="N68" s="111"/>
      <c r="O68" s="111"/>
      <c r="P68" s="111"/>
    </row>
    <row r="69" spans="1:16" s="104" customFormat="1" x14ac:dyDescent="0.2">
      <c r="A69" s="98"/>
      <c r="B69" s="105"/>
      <c r="C69" s="114"/>
      <c r="D69" s="4" t="s">
        <v>100</v>
      </c>
      <c r="E69" s="124" t="s">
        <v>0</v>
      </c>
      <c r="F69" s="5">
        <v>1</v>
      </c>
      <c r="G69" s="6">
        <v>1.46</v>
      </c>
      <c r="H69" s="6"/>
      <c r="I69" s="7">
        <v>1.2</v>
      </c>
      <c r="J69" s="125">
        <v>1</v>
      </c>
      <c r="K69" s="7"/>
      <c r="L69" s="7">
        <f>F69*G69*I69*J69</f>
        <v>1.752</v>
      </c>
      <c r="M69" s="111"/>
      <c r="N69" s="111"/>
      <c r="O69" s="111"/>
      <c r="P69" s="111"/>
    </row>
    <row r="70" spans="1:16" s="104" customFormat="1" x14ac:dyDescent="0.2">
      <c r="A70" s="98"/>
      <c r="B70" s="105"/>
      <c r="C70" s="114"/>
      <c r="D70" s="4"/>
      <c r="E70" s="124" t="s">
        <v>0</v>
      </c>
      <c r="F70" s="5">
        <v>7</v>
      </c>
      <c r="G70" s="6">
        <v>0.45</v>
      </c>
      <c r="H70" s="6"/>
      <c r="I70" s="7">
        <v>1.2</v>
      </c>
      <c r="J70" s="125">
        <v>1</v>
      </c>
      <c r="K70" s="7"/>
      <c r="L70" s="7">
        <f>F70*G70*I70*J70</f>
        <v>3.78</v>
      </c>
      <c r="M70" s="111"/>
      <c r="N70" s="111"/>
      <c r="O70" s="111"/>
      <c r="P70" s="111"/>
    </row>
    <row r="71" spans="1:16" s="104" customFormat="1" x14ac:dyDescent="0.2">
      <c r="A71" s="98"/>
      <c r="B71" s="105"/>
      <c r="C71" s="114"/>
      <c r="D71" s="4" t="s">
        <v>101</v>
      </c>
      <c r="E71" s="124" t="s">
        <v>0</v>
      </c>
      <c r="F71" s="5">
        <v>1</v>
      </c>
      <c r="G71" s="6">
        <v>1.46</v>
      </c>
      <c r="H71" s="6"/>
      <c r="I71" s="7">
        <v>1.2</v>
      </c>
      <c r="J71" s="125">
        <v>1</v>
      </c>
      <c r="K71" s="7"/>
      <c r="L71" s="7">
        <f>F71*G71*I71*J71</f>
        <v>1.752</v>
      </c>
      <c r="M71" s="111"/>
      <c r="N71" s="111"/>
      <c r="O71" s="111"/>
      <c r="P71" s="111"/>
    </row>
    <row r="72" spans="1:16" s="104" customFormat="1" x14ac:dyDescent="0.2">
      <c r="A72" s="98"/>
      <c r="B72" s="105"/>
      <c r="C72" s="114"/>
      <c r="D72" s="4"/>
      <c r="E72" s="124" t="s">
        <v>0</v>
      </c>
      <c r="F72" s="5">
        <v>9</v>
      </c>
      <c r="G72" s="6">
        <v>0.45</v>
      </c>
      <c r="H72" s="6"/>
      <c r="I72" s="7">
        <v>1.2</v>
      </c>
      <c r="J72" s="125">
        <v>1</v>
      </c>
      <c r="K72" s="7"/>
      <c r="L72" s="7">
        <f>F72*G72*I72*J72</f>
        <v>4.8599999999999994</v>
      </c>
      <c r="M72" s="111"/>
      <c r="N72" s="111"/>
      <c r="O72" s="111"/>
      <c r="P72" s="111"/>
    </row>
    <row r="73" spans="1:16" s="104" customFormat="1" x14ac:dyDescent="0.2">
      <c r="A73" s="98"/>
      <c r="B73" s="105"/>
      <c r="C73" s="114"/>
      <c r="D73" s="115" t="s">
        <v>51</v>
      </c>
      <c r="E73" s="116"/>
      <c r="F73" s="109"/>
      <c r="G73" s="110"/>
      <c r="H73" s="110"/>
      <c r="I73" s="111"/>
      <c r="J73" s="112"/>
      <c r="K73" s="111"/>
      <c r="L73" s="111"/>
      <c r="M73" s="111"/>
      <c r="N73" s="111"/>
      <c r="O73" s="111"/>
      <c r="P73" s="111"/>
    </row>
    <row r="74" spans="1:16" s="104" customFormat="1" x14ac:dyDescent="0.2">
      <c r="A74" s="98"/>
      <c r="B74" s="105"/>
      <c r="C74" s="114"/>
      <c r="D74" s="4" t="s">
        <v>34</v>
      </c>
      <c r="E74" s="124" t="s">
        <v>0</v>
      </c>
      <c r="F74" s="5">
        <v>4</v>
      </c>
      <c r="G74" s="6">
        <v>1.51</v>
      </c>
      <c r="H74" s="6"/>
      <c r="I74" s="7">
        <v>1.6</v>
      </c>
      <c r="J74" s="125">
        <v>1</v>
      </c>
      <c r="K74" s="7"/>
      <c r="L74" s="7">
        <f>F74*G74*I74*J74</f>
        <v>9.6640000000000015</v>
      </c>
      <c r="M74" s="111"/>
      <c r="N74" s="111"/>
      <c r="O74" s="111"/>
      <c r="P74" s="111"/>
    </row>
    <row r="75" spans="1:16" s="104" customFormat="1" x14ac:dyDescent="0.2">
      <c r="A75" s="98"/>
      <c r="B75" s="105"/>
      <c r="C75" s="114"/>
      <c r="D75" s="4" t="s">
        <v>100</v>
      </c>
      <c r="E75" s="124" t="s">
        <v>0</v>
      </c>
      <c r="F75" s="5">
        <v>1</v>
      </c>
      <c r="G75" s="6">
        <v>1.46</v>
      </c>
      <c r="H75" s="6"/>
      <c r="I75" s="7">
        <v>1.6</v>
      </c>
      <c r="J75" s="125">
        <v>1</v>
      </c>
      <c r="K75" s="7"/>
      <c r="L75" s="7">
        <f t="shared" ref="L75:L78" si="11">F75*G75*I75*J75</f>
        <v>2.3359999999999999</v>
      </c>
      <c r="M75" s="111"/>
      <c r="N75" s="111"/>
      <c r="O75" s="111"/>
      <c r="P75" s="111"/>
    </row>
    <row r="76" spans="1:16" s="104" customFormat="1" x14ac:dyDescent="0.2">
      <c r="A76" s="98"/>
      <c r="B76" s="105"/>
      <c r="C76" s="114"/>
      <c r="D76" s="4"/>
      <c r="E76" s="124" t="s">
        <v>0</v>
      </c>
      <c r="F76" s="5">
        <v>6</v>
      </c>
      <c r="G76" s="6">
        <v>0.45</v>
      </c>
      <c r="H76" s="6"/>
      <c r="I76" s="7">
        <v>1.6</v>
      </c>
      <c r="J76" s="125">
        <v>1</v>
      </c>
      <c r="K76" s="7"/>
      <c r="L76" s="7">
        <f t="shared" si="11"/>
        <v>4.32</v>
      </c>
      <c r="M76" s="111"/>
      <c r="N76" s="111"/>
      <c r="O76" s="111"/>
      <c r="P76" s="111"/>
    </row>
    <row r="77" spans="1:16" s="104" customFormat="1" x14ac:dyDescent="0.2">
      <c r="A77" s="98"/>
      <c r="B77" s="105"/>
      <c r="C77" s="114"/>
      <c r="D77" s="4" t="s">
        <v>101</v>
      </c>
      <c r="E77" s="124" t="s">
        <v>0</v>
      </c>
      <c r="F77" s="5">
        <v>1</v>
      </c>
      <c r="G77" s="6">
        <v>1.46</v>
      </c>
      <c r="H77" s="6"/>
      <c r="I77" s="7">
        <v>1.6</v>
      </c>
      <c r="J77" s="125">
        <v>1</v>
      </c>
      <c r="K77" s="7"/>
      <c r="L77" s="7">
        <f t="shared" si="11"/>
        <v>2.3359999999999999</v>
      </c>
      <c r="M77" s="111"/>
      <c r="N77" s="111"/>
      <c r="O77" s="111"/>
      <c r="P77" s="111"/>
    </row>
    <row r="78" spans="1:16" s="104" customFormat="1" x14ac:dyDescent="0.2">
      <c r="A78" s="98"/>
      <c r="B78" s="105"/>
      <c r="C78" s="114"/>
      <c r="D78" s="4"/>
      <c r="E78" s="124" t="s">
        <v>0</v>
      </c>
      <c r="F78" s="5">
        <v>11</v>
      </c>
      <c r="G78" s="6">
        <v>0.45</v>
      </c>
      <c r="H78" s="6"/>
      <c r="I78" s="7">
        <v>1.6</v>
      </c>
      <c r="J78" s="125">
        <v>1</v>
      </c>
      <c r="K78" s="7"/>
      <c r="L78" s="7">
        <f t="shared" si="11"/>
        <v>7.9200000000000008</v>
      </c>
      <c r="M78" s="111"/>
      <c r="N78" s="111"/>
      <c r="O78" s="111"/>
      <c r="P78" s="111"/>
    </row>
    <row r="79" spans="1:16" s="104" customFormat="1" x14ac:dyDescent="0.2">
      <c r="A79" s="98"/>
      <c r="B79" s="105"/>
      <c r="C79" s="114"/>
      <c r="D79" s="115" t="s">
        <v>102</v>
      </c>
      <c r="E79" s="116"/>
      <c r="F79" s="109"/>
      <c r="G79" s="110"/>
      <c r="H79" s="110"/>
      <c r="I79" s="111"/>
      <c r="J79" s="112"/>
      <c r="K79" s="111"/>
      <c r="L79" s="111"/>
      <c r="M79" s="111"/>
      <c r="N79" s="111"/>
      <c r="O79" s="111"/>
      <c r="P79" s="111"/>
    </row>
    <row r="80" spans="1:16" s="104" customFormat="1" x14ac:dyDescent="0.2">
      <c r="A80" s="98"/>
      <c r="B80" s="105"/>
      <c r="C80" s="114"/>
      <c r="D80" s="4" t="s">
        <v>34</v>
      </c>
      <c r="E80" s="124" t="s">
        <v>0</v>
      </c>
      <c r="F80" s="5">
        <v>4</v>
      </c>
      <c r="G80" s="6">
        <v>0.6</v>
      </c>
      <c r="H80" s="6"/>
      <c r="I80" s="7">
        <v>2.15</v>
      </c>
      <c r="J80" s="125">
        <v>1</v>
      </c>
      <c r="K80" s="7"/>
      <c r="L80" s="7">
        <f>F80*G80*I80*J80</f>
        <v>5.1599999999999993</v>
      </c>
      <c r="M80" s="111"/>
      <c r="N80" s="111"/>
      <c r="O80" s="111"/>
      <c r="P80" s="111"/>
    </row>
    <row r="81" spans="1:16" s="104" customFormat="1" x14ac:dyDescent="0.2">
      <c r="A81" s="98"/>
      <c r="B81" s="105"/>
      <c r="C81" s="114"/>
      <c r="D81" s="4" t="s">
        <v>99</v>
      </c>
      <c r="E81" s="124" t="s">
        <v>0</v>
      </c>
      <c r="F81" s="5">
        <v>1</v>
      </c>
      <c r="G81" s="6">
        <v>0.4</v>
      </c>
      <c r="H81" s="6"/>
      <c r="I81" s="7">
        <v>2.15</v>
      </c>
      <c r="J81" s="125">
        <v>1</v>
      </c>
      <c r="K81" s="7"/>
      <c r="L81" s="7">
        <f>F81*G81*I81*J81</f>
        <v>0.86</v>
      </c>
      <c r="M81" s="111"/>
      <c r="N81" s="111"/>
      <c r="O81" s="111"/>
      <c r="P81" s="111"/>
    </row>
    <row r="82" spans="1:16" s="104" customFormat="1" x14ac:dyDescent="0.2">
      <c r="A82" s="98"/>
      <c r="B82" s="105"/>
      <c r="C82" s="114"/>
      <c r="D82" s="4" t="s">
        <v>103</v>
      </c>
      <c r="E82" s="124" t="s">
        <v>0</v>
      </c>
      <c r="F82" s="5">
        <v>1</v>
      </c>
      <c r="G82" s="6">
        <v>0.4</v>
      </c>
      <c r="H82" s="6"/>
      <c r="I82" s="7">
        <v>2.15</v>
      </c>
      <c r="J82" s="125">
        <v>1</v>
      </c>
      <c r="K82" s="7"/>
      <c r="L82" s="7">
        <f>F82*G82*I82*J82</f>
        <v>0.86</v>
      </c>
      <c r="M82" s="111"/>
      <c r="N82" s="111"/>
      <c r="O82" s="111"/>
      <c r="P82" s="111"/>
    </row>
    <row r="83" spans="1:16" s="104" customFormat="1" x14ac:dyDescent="0.2">
      <c r="A83" s="98"/>
      <c r="B83" s="105"/>
      <c r="C83" s="114"/>
      <c r="D83" s="115" t="s">
        <v>104</v>
      </c>
      <c r="E83" s="116"/>
      <c r="F83" s="109"/>
      <c r="G83" s="110"/>
      <c r="H83" s="110"/>
      <c r="I83" s="111"/>
      <c r="J83" s="112"/>
      <c r="K83" s="111"/>
      <c r="L83" s="111"/>
      <c r="M83" s="111"/>
      <c r="N83" s="111"/>
      <c r="O83" s="111"/>
      <c r="P83" s="111"/>
    </row>
    <row r="84" spans="1:16" s="104" customFormat="1" x14ac:dyDescent="0.2">
      <c r="A84" s="98"/>
      <c r="B84" s="105"/>
      <c r="C84" s="114"/>
      <c r="D84" s="4" t="s">
        <v>34</v>
      </c>
      <c r="E84" s="124" t="s">
        <v>0</v>
      </c>
      <c r="F84" s="5">
        <v>4</v>
      </c>
      <c r="G84" s="6">
        <v>0.6</v>
      </c>
      <c r="H84" s="6"/>
      <c r="I84" s="7">
        <v>1.07</v>
      </c>
      <c r="J84" s="125">
        <v>1</v>
      </c>
      <c r="K84" s="7"/>
      <c r="L84" s="7">
        <f>F84*G84*I84*J84</f>
        <v>2.5680000000000001</v>
      </c>
      <c r="M84" s="111"/>
      <c r="N84" s="111"/>
      <c r="O84" s="111"/>
      <c r="P84" s="111"/>
    </row>
    <row r="85" spans="1:16" s="104" customFormat="1" x14ac:dyDescent="0.2">
      <c r="A85" s="98"/>
      <c r="B85" s="105"/>
      <c r="C85" s="114"/>
      <c r="D85" s="4" t="s">
        <v>53</v>
      </c>
      <c r="E85" s="124" t="s">
        <v>0</v>
      </c>
      <c r="F85" s="5">
        <v>8</v>
      </c>
      <c r="G85" s="6">
        <v>0.45</v>
      </c>
      <c r="H85" s="6"/>
      <c r="I85" s="7">
        <v>0.2</v>
      </c>
      <c r="J85" s="125">
        <v>1</v>
      </c>
      <c r="K85" s="7"/>
      <c r="L85" s="7">
        <f t="shared" si="8"/>
        <v>0.72000000000000008</v>
      </c>
      <c r="M85" s="111"/>
      <c r="N85" s="111"/>
      <c r="O85" s="111"/>
      <c r="P85" s="111"/>
    </row>
    <row r="86" spans="1:16" s="104" customFormat="1" x14ac:dyDescent="0.2">
      <c r="A86" s="98"/>
      <c r="B86" s="105"/>
      <c r="C86" s="114"/>
      <c r="D86" s="4" t="s">
        <v>54</v>
      </c>
      <c r="E86" s="124" t="s">
        <v>0</v>
      </c>
      <c r="F86" s="5">
        <v>1</v>
      </c>
      <c r="G86" s="6">
        <v>0.61</v>
      </c>
      <c r="H86" s="6"/>
      <c r="I86" s="7">
        <v>0.2</v>
      </c>
      <c r="J86" s="125">
        <v>1</v>
      </c>
      <c r="K86" s="7"/>
      <c r="L86" s="7">
        <f t="shared" si="8"/>
        <v>0.122</v>
      </c>
      <c r="M86" s="111"/>
      <c r="N86" s="111"/>
      <c r="O86" s="111"/>
      <c r="P86" s="111"/>
    </row>
    <row r="87" spans="1:16" s="104" customFormat="1" x14ac:dyDescent="0.2">
      <c r="A87" s="98"/>
      <c r="B87" s="105"/>
      <c r="C87" s="114"/>
      <c r="D87" s="4" t="s">
        <v>55</v>
      </c>
      <c r="E87" s="124" t="s">
        <v>0</v>
      </c>
      <c r="F87" s="5">
        <v>12</v>
      </c>
      <c r="G87" s="6">
        <v>0.45</v>
      </c>
      <c r="H87" s="6"/>
      <c r="I87" s="7">
        <v>0.2</v>
      </c>
      <c r="J87" s="125">
        <v>1</v>
      </c>
      <c r="K87" s="7"/>
      <c r="L87" s="7">
        <f t="shared" si="8"/>
        <v>1.08</v>
      </c>
      <c r="M87" s="111"/>
      <c r="N87" s="111"/>
      <c r="O87" s="111"/>
      <c r="P87" s="111"/>
    </row>
    <row r="88" spans="1:16" s="104" customFormat="1" x14ac:dyDescent="0.2">
      <c r="A88" s="98"/>
      <c r="B88" s="105"/>
      <c r="C88" s="114"/>
      <c r="D88" s="4" t="s">
        <v>56</v>
      </c>
      <c r="E88" s="124" t="s">
        <v>0</v>
      </c>
      <c r="F88" s="5">
        <v>1</v>
      </c>
      <c r="G88" s="6">
        <v>0.61</v>
      </c>
      <c r="H88" s="6"/>
      <c r="I88" s="7">
        <v>0.2</v>
      </c>
      <c r="J88" s="125">
        <v>1</v>
      </c>
      <c r="K88" s="7"/>
      <c r="L88" s="7">
        <f>F88*G88*I88*J88</f>
        <v>0.122</v>
      </c>
      <c r="M88" s="111"/>
      <c r="N88" s="111"/>
      <c r="O88" s="111"/>
      <c r="P88" s="111"/>
    </row>
    <row r="89" spans="1:16" s="104" customFormat="1" x14ac:dyDescent="0.2">
      <c r="A89" s="98"/>
      <c r="B89" s="105"/>
      <c r="C89" s="114"/>
      <c r="D89" s="4" t="s">
        <v>57</v>
      </c>
      <c r="E89" s="124" t="s">
        <v>0</v>
      </c>
      <c r="F89" s="5">
        <v>12</v>
      </c>
      <c r="G89" s="6">
        <v>0.45</v>
      </c>
      <c r="H89" s="6"/>
      <c r="I89" s="7">
        <v>0.2</v>
      </c>
      <c r="J89" s="125">
        <v>1</v>
      </c>
      <c r="K89" s="7"/>
      <c r="L89" s="7">
        <f>F89*G89*I89*J89</f>
        <v>1.08</v>
      </c>
      <c r="M89" s="111"/>
      <c r="N89" s="111"/>
      <c r="O89" s="111"/>
      <c r="P89" s="111"/>
    </row>
    <row r="90" spans="1:16" s="104" customFormat="1" x14ac:dyDescent="0.2">
      <c r="A90" s="98"/>
      <c r="B90" s="105"/>
      <c r="C90" s="114"/>
      <c r="D90" s="117"/>
      <c r="E90" s="116"/>
      <c r="F90" s="109"/>
      <c r="G90" s="110"/>
      <c r="H90" s="110"/>
      <c r="I90" s="111"/>
      <c r="J90" s="112"/>
      <c r="K90" s="111"/>
      <c r="L90" s="111"/>
      <c r="M90" s="111"/>
      <c r="N90" s="111"/>
      <c r="O90" s="111"/>
      <c r="P90" s="111"/>
    </row>
    <row r="91" spans="1:16" s="104" customFormat="1" x14ac:dyDescent="0.2">
      <c r="A91" s="98"/>
      <c r="B91" s="105"/>
      <c r="C91" s="114"/>
      <c r="D91" s="107" t="s">
        <v>58</v>
      </c>
      <c r="E91" s="116"/>
      <c r="F91" s="109"/>
      <c r="G91" s="110"/>
      <c r="H91" s="110"/>
      <c r="I91" s="111"/>
      <c r="J91" s="112"/>
      <c r="K91" s="111"/>
      <c r="L91" s="111"/>
      <c r="M91" s="111"/>
      <c r="N91" s="111"/>
      <c r="O91" s="111"/>
      <c r="P91" s="111"/>
    </row>
    <row r="92" spans="1:16" s="104" customFormat="1" x14ac:dyDescent="0.2">
      <c r="A92" s="98"/>
      <c r="B92" s="105"/>
      <c r="C92" s="114"/>
      <c r="D92" s="115" t="s">
        <v>33</v>
      </c>
      <c r="E92" s="116"/>
      <c r="F92" s="109"/>
      <c r="G92" s="110"/>
      <c r="H92" s="110"/>
      <c r="I92" s="111"/>
      <c r="J92" s="112"/>
      <c r="K92" s="111"/>
      <c r="L92" s="111"/>
      <c r="M92" s="111"/>
      <c r="N92" s="111"/>
      <c r="O92" s="111"/>
      <c r="P92" s="111"/>
    </row>
    <row r="93" spans="1:16" s="104" customFormat="1" x14ac:dyDescent="0.2">
      <c r="A93" s="98"/>
      <c r="B93" s="105"/>
      <c r="C93" s="114"/>
      <c r="D93" s="4" t="s">
        <v>98</v>
      </c>
      <c r="E93" s="124" t="s">
        <v>0</v>
      </c>
      <c r="F93" s="5">
        <v>1</v>
      </c>
      <c r="G93" s="6">
        <v>1.7</v>
      </c>
      <c r="H93" s="6"/>
      <c r="I93" s="7">
        <f>2.25-1.5</f>
        <v>0.75</v>
      </c>
      <c r="J93" s="125">
        <v>1</v>
      </c>
      <c r="K93" s="7"/>
      <c r="L93" s="7">
        <f t="shared" ref="L93:L99" si="12">F93*G93*I93*J93</f>
        <v>1.2749999999999999</v>
      </c>
      <c r="M93" s="111"/>
      <c r="N93" s="111"/>
      <c r="O93" s="111"/>
      <c r="P93" s="111"/>
    </row>
    <row r="94" spans="1:16" s="104" customFormat="1" x14ac:dyDescent="0.2">
      <c r="A94" s="98"/>
      <c r="B94" s="105"/>
      <c r="C94" s="114"/>
      <c r="D94" s="4"/>
      <c r="E94" s="124" t="s">
        <v>0</v>
      </c>
      <c r="F94" s="5">
        <v>1</v>
      </c>
      <c r="G94" s="6">
        <v>2.0699999999999998</v>
      </c>
      <c r="H94" s="6"/>
      <c r="I94" s="7">
        <v>2.35</v>
      </c>
      <c r="J94" s="125">
        <v>1</v>
      </c>
      <c r="K94" s="7"/>
      <c r="L94" s="7">
        <f t="shared" si="12"/>
        <v>4.8644999999999996</v>
      </c>
      <c r="M94" s="111"/>
      <c r="N94" s="111"/>
      <c r="O94" s="111"/>
      <c r="P94" s="111"/>
    </row>
    <row r="95" spans="1:16" s="104" customFormat="1" x14ac:dyDescent="0.2">
      <c r="A95" s="98"/>
      <c r="B95" s="105"/>
      <c r="C95" s="114"/>
      <c r="D95" s="4"/>
      <c r="E95" s="124" t="s">
        <v>0</v>
      </c>
      <c r="F95" s="5">
        <v>1</v>
      </c>
      <c r="G95" s="6">
        <v>1.77</v>
      </c>
      <c r="H95" s="6"/>
      <c r="I95" s="7">
        <v>2.5499999999999998</v>
      </c>
      <c r="J95" s="125">
        <v>1</v>
      </c>
      <c r="K95" s="7"/>
      <c r="L95" s="7">
        <f t="shared" si="12"/>
        <v>4.5134999999999996</v>
      </c>
      <c r="M95" s="111"/>
      <c r="N95" s="111"/>
      <c r="O95" s="111"/>
      <c r="P95" s="111"/>
    </row>
    <row r="96" spans="1:16" s="104" customFormat="1" x14ac:dyDescent="0.2">
      <c r="A96" s="98"/>
      <c r="B96" s="105"/>
      <c r="C96" s="114"/>
      <c r="D96" s="4"/>
      <c r="E96" s="124" t="s">
        <v>0</v>
      </c>
      <c r="F96" s="5">
        <v>1</v>
      </c>
      <c r="G96" s="6">
        <v>1.77</v>
      </c>
      <c r="H96" s="6"/>
      <c r="I96" s="7">
        <v>2.75</v>
      </c>
      <c r="J96" s="125">
        <v>1</v>
      </c>
      <c r="K96" s="7"/>
      <c r="L96" s="7">
        <f t="shared" si="12"/>
        <v>4.8674999999999997</v>
      </c>
      <c r="M96" s="111"/>
      <c r="N96" s="111"/>
      <c r="O96" s="111"/>
      <c r="P96" s="111"/>
    </row>
    <row r="97" spans="1:16" s="104" customFormat="1" x14ac:dyDescent="0.2">
      <c r="A97" s="98"/>
      <c r="B97" s="105"/>
      <c r="C97" s="114"/>
      <c r="D97" s="4"/>
      <c r="E97" s="124" t="s">
        <v>0</v>
      </c>
      <c r="F97" s="5">
        <v>1</v>
      </c>
      <c r="G97" s="6">
        <v>1.86</v>
      </c>
      <c r="H97" s="6"/>
      <c r="I97" s="7">
        <v>2.95</v>
      </c>
      <c r="J97" s="125">
        <v>1</v>
      </c>
      <c r="K97" s="7"/>
      <c r="L97" s="7">
        <f t="shared" si="12"/>
        <v>5.487000000000001</v>
      </c>
      <c r="M97" s="111"/>
      <c r="N97" s="111"/>
      <c r="O97" s="111"/>
      <c r="P97" s="111"/>
    </row>
    <row r="98" spans="1:16" s="104" customFormat="1" x14ac:dyDescent="0.2">
      <c r="A98" s="98"/>
      <c r="B98" s="105"/>
      <c r="C98" s="114"/>
      <c r="D98" s="4" t="s">
        <v>35</v>
      </c>
      <c r="E98" s="124" t="s">
        <v>0</v>
      </c>
      <c r="F98" s="5">
        <v>1</v>
      </c>
      <c r="G98" s="6">
        <v>9.39</v>
      </c>
      <c r="H98" s="6"/>
      <c r="I98" s="7">
        <v>1.6</v>
      </c>
      <c r="J98" s="125">
        <v>1</v>
      </c>
      <c r="K98" s="7"/>
      <c r="L98" s="7">
        <f t="shared" si="12"/>
        <v>15.024000000000001</v>
      </c>
      <c r="M98" s="111"/>
      <c r="N98" s="111"/>
      <c r="O98" s="111"/>
      <c r="P98" s="111"/>
    </row>
    <row r="99" spans="1:16" s="104" customFormat="1" x14ac:dyDescent="0.2">
      <c r="A99" s="98"/>
      <c r="B99" s="105"/>
      <c r="C99" s="114"/>
      <c r="D99" s="4"/>
      <c r="E99" s="124" t="s">
        <v>0</v>
      </c>
      <c r="F99" s="5">
        <v>1</v>
      </c>
      <c r="G99" s="6">
        <v>9.39</v>
      </c>
      <c r="H99" s="6"/>
      <c r="I99" s="7">
        <f>1.6+0.45</f>
        <v>2.0500000000000003</v>
      </c>
      <c r="J99" s="125">
        <v>1</v>
      </c>
      <c r="K99" s="7"/>
      <c r="L99" s="7">
        <f t="shared" si="12"/>
        <v>19.249500000000005</v>
      </c>
      <c r="M99" s="111"/>
      <c r="N99" s="111"/>
      <c r="O99" s="111"/>
      <c r="P99" s="111"/>
    </row>
    <row r="100" spans="1:16" s="104" customFormat="1" x14ac:dyDescent="0.2">
      <c r="A100" s="98"/>
      <c r="B100" s="105"/>
      <c r="C100" s="114"/>
      <c r="D100" s="117"/>
      <c r="E100" s="116"/>
      <c r="F100" s="109"/>
      <c r="G100" s="110"/>
      <c r="H100" s="110"/>
      <c r="I100" s="110"/>
      <c r="J100" s="112"/>
      <c r="K100" s="111"/>
      <c r="L100" s="111"/>
      <c r="M100" s="111"/>
      <c r="N100" s="111"/>
      <c r="O100" s="111"/>
      <c r="P100" s="111"/>
    </row>
    <row r="101" spans="1:16" s="104" customFormat="1" x14ac:dyDescent="0.2">
      <c r="A101" s="98"/>
      <c r="B101" s="105"/>
      <c r="C101" s="99" t="s">
        <v>1181</v>
      </c>
      <c r="D101" s="100" t="s">
        <v>521</v>
      </c>
      <c r="E101" s="101" t="s">
        <v>0</v>
      </c>
      <c r="F101" s="1"/>
      <c r="G101" s="2"/>
      <c r="H101" s="2"/>
      <c r="I101" s="2"/>
      <c r="J101" s="102"/>
      <c r="K101" s="103"/>
      <c r="L101" s="103"/>
      <c r="M101" s="103"/>
      <c r="N101" s="103"/>
      <c r="O101" s="103"/>
      <c r="P101" s="103">
        <f>SUM(L101:L163)</f>
        <v>169.84434000000005</v>
      </c>
    </row>
    <row r="102" spans="1:16" s="104" customFormat="1" x14ac:dyDescent="0.2">
      <c r="A102" s="98"/>
      <c r="B102" s="105"/>
      <c r="C102" s="118"/>
      <c r="D102" s="107" t="s">
        <v>32</v>
      </c>
      <c r="E102" s="101"/>
      <c r="F102" s="1"/>
      <c r="G102" s="2"/>
      <c r="H102" s="2"/>
      <c r="I102" s="2"/>
      <c r="J102" s="119"/>
      <c r="K102" s="113"/>
      <c r="L102" s="113"/>
      <c r="M102" s="113"/>
      <c r="N102" s="113"/>
      <c r="O102" s="113"/>
      <c r="P102" s="113"/>
    </row>
    <row r="103" spans="1:16" s="104" customFormat="1" x14ac:dyDescent="0.2">
      <c r="A103" s="98"/>
      <c r="B103" s="105"/>
      <c r="C103" s="114"/>
      <c r="D103" s="115" t="s">
        <v>105</v>
      </c>
      <c r="E103" s="108"/>
      <c r="F103" s="109"/>
      <c r="G103" s="110"/>
      <c r="H103" s="110"/>
      <c r="I103" s="111"/>
      <c r="J103" s="112"/>
      <c r="K103" s="111"/>
      <c r="L103" s="111"/>
      <c r="M103" s="111"/>
      <c r="N103" s="111"/>
      <c r="O103" s="111"/>
      <c r="P103" s="111"/>
    </row>
    <row r="104" spans="1:16" s="104" customFormat="1" x14ac:dyDescent="0.2">
      <c r="A104" s="98"/>
      <c r="B104" s="105"/>
      <c r="C104" s="114"/>
      <c r="D104" s="4" t="s">
        <v>53</v>
      </c>
      <c r="E104" s="124" t="s">
        <v>0</v>
      </c>
      <c r="F104" s="5">
        <v>1</v>
      </c>
      <c r="G104" s="6">
        <v>1.51</v>
      </c>
      <c r="H104" s="6"/>
      <c r="I104" s="7">
        <f>0.9-0.25-0.14+1.6</f>
        <v>2.1100000000000003</v>
      </c>
      <c r="J104" s="125">
        <v>1</v>
      </c>
      <c r="K104" s="7"/>
      <c r="L104" s="7">
        <f t="shared" ref="L104:L109" si="13">F104*G104*I104*J104</f>
        <v>3.1861000000000006</v>
      </c>
      <c r="M104" s="111"/>
      <c r="N104" s="111"/>
      <c r="O104" s="111"/>
      <c r="P104" s="111"/>
    </row>
    <row r="105" spans="1:16" s="104" customFormat="1" x14ac:dyDescent="0.2">
      <c r="A105" s="98"/>
      <c r="B105" s="105"/>
      <c r="C105" s="114"/>
      <c r="D105" s="4"/>
      <c r="E105" s="124" t="s">
        <v>0</v>
      </c>
      <c r="F105" s="5">
        <v>1</v>
      </c>
      <c r="G105" s="6">
        <v>1.51</v>
      </c>
      <c r="H105" s="6"/>
      <c r="I105" s="7">
        <f>0.9-0.25-0.14-0.21+1.6</f>
        <v>1.9000000000000001</v>
      </c>
      <c r="J105" s="125">
        <v>1</v>
      </c>
      <c r="K105" s="7"/>
      <c r="L105" s="7">
        <f t="shared" si="13"/>
        <v>2.8690000000000002</v>
      </c>
      <c r="M105" s="111"/>
      <c r="N105" s="111"/>
      <c r="O105" s="111"/>
      <c r="P105" s="111"/>
    </row>
    <row r="106" spans="1:16" s="104" customFormat="1" x14ac:dyDescent="0.2">
      <c r="A106" s="98"/>
      <c r="B106" s="105"/>
      <c r="C106" s="114"/>
      <c r="D106" s="4"/>
      <c r="E106" s="124" t="s">
        <v>0</v>
      </c>
      <c r="F106" s="5">
        <v>1</v>
      </c>
      <c r="G106" s="6">
        <v>1.51</v>
      </c>
      <c r="H106" s="6"/>
      <c r="I106" s="7">
        <f>0.9-0.25-0.14-0.21*2+1.6</f>
        <v>1.6900000000000002</v>
      </c>
      <c r="J106" s="125">
        <v>1</v>
      </c>
      <c r="K106" s="7"/>
      <c r="L106" s="7">
        <f t="shared" si="13"/>
        <v>2.5519000000000003</v>
      </c>
      <c r="M106" s="111"/>
      <c r="N106" s="111"/>
      <c r="O106" s="111"/>
      <c r="P106" s="111"/>
    </row>
    <row r="107" spans="1:16" s="104" customFormat="1" x14ac:dyDescent="0.2">
      <c r="A107" s="98"/>
      <c r="B107" s="105"/>
      <c r="C107" s="114"/>
      <c r="D107" s="4" t="s">
        <v>100</v>
      </c>
      <c r="E107" s="124" t="s">
        <v>0</v>
      </c>
      <c r="F107" s="5">
        <v>1</v>
      </c>
      <c r="G107" s="6">
        <v>1.46</v>
      </c>
      <c r="H107" s="6"/>
      <c r="I107" s="7">
        <f>0.9-0.25+0.1+1.6</f>
        <v>2.35</v>
      </c>
      <c r="J107" s="125">
        <v>1</v>
      </c>
      <c r="K107" s="7"/>
      <c r="L107" s="7">
        <f t="shared" si="13"/>
        <v>3.431</v>
      </c>
      <c r="M107" s="111"/>
      <c r="N107" s="111"/>
      <c r="O107" s="111"/>
      <c r="P107" s="111"/>
    </row>
    <row r="108" spans="1:16" s="104" customFormat="1" x14ac:dyDescent="0.2">
      <c r="A108" s="98"/>
      <c r="B108" s="105"/>
      <c r="C108" s="114"/>
      <c r="D108" s="4"/>
      <c r="E108" s="124" t="s">
        <v>0</v>
      </c>
      <c r="F108" s="5">
        <v>1</v>
      </c>
      <c r="G108" s="6">
        <v>0.46</v>
      </c>
      <c r="H108" s="6"/>
      <c r="I108" s="7">
        <f>0.9-0.25+0.1+0.14+0.083+1.6</f>
        <v>2.573</v>
      </c>
      <c r="J108" s="125">
        <v>1</v>
      </c>
      <c r="K108" s="7"/>
      <c r="L108" s="7">
        <f t="shared" si="13"/>
        <v>1.1835800000000001</v>
      </c>
      <c r="M108" s="111"/>
      <c r="N108" s="111"/>
      <c r="O108" s="111"/>
      <c r="P108" s="111"/>
    </row>
    <row r="109" spans="1:16" s="104" customFormat="1" x14ac:dyDescent="0.2">
      <c r="A109" s="98"/>
      <c r="B109" s="105"/>
      <c r="C109" s="114"/>
      <c r="D109" s="4"/>
      <c r="E109" s="124" t="s">
        <v>0</v>
      </c>
      <c r="F109" s="5">
        <v>1</v>
      </c>
      <c r="G109" s="6">
        <v>0.46</v>
      </c>
      <c r="H109" s="6"/>
      <c r="I109" s="7">
        <f>0.9-0.25+0.1+0.14+0.083*3+1.6</f>
        <v>2.7389999999999999</v>
      </c>
      <c r="J109" s="125">
        <v>1</v>
      </c>
      <c r="K109" s="7"/>
      <c r="L109" s="7">
        <f t="shared" si="13"/>
        <v>1.2599400000000001</v>
      </c>
      <c r="M109" s="111"/>
      <c r="N109" s="111"/>
      <c r="O109" s="111"/>
      <c r="P109" s="111"/>
    </row>
    <row r="110" spans="1:16" s="104" customFormat="1" x14ac:dyDescent="0.2">
      <c r="A110" s="98"/>
      <c r="B110" s="105"/>
      <c r="C110" s="114"/>
      <c r="D110" s="4"/>
      <c r="E110" s="124" t="s">
        <v>0</v>
      </c>
      <c r="F110" s="5">
        <v>1</v>
      </c>
      <c r="G110" s="6">
        <v>0.46</v>
      </c>
      <c r="H110" s="6"/>
      <c r="I110" s="7">
        <f>0.9-0.25+0.1+0.14+0.083*5+1.6</f>
        <v>2.9050000000000002</v>
      </c>
      <c r="J110" s="125">
        <v>1</v>
      </c>
      <c r="K110" s="7"/>
      <c r="L110" s="7">
        <f t="shared" ref="L110" si="14">F110*G110*I110*J110</f>
        <v>1.3363000000000003</v>
      </c>
      <c r="M110" s="111"/>
      <c r="N110" s="111"/>
      <c r="O110" s="111"/>
      <c r="P110" s="111"/>
    </row>
    <row r="111" spans="1:16" s="104" customFormat="1" x14ac:dyDescent="0.2">
      <c r="A111" s="98"/>
      <c r="B111" s="105"/>
      <c r="C111" s="114"/>
      <c r="D111" s="4"/>
      <c r="E111" s="124" t="s">
        <v>0</v>
      </c>
      <c r="F111" s="5">
        <v>1</v>
      </c>
      <c r="G111" s="6">
        <v>0.46</v>
      </c>
      <c r="H111" s="6"/>
      <c r="I111" s="7">
        <f>0.9-0.25+0.1+0.14+0.083*7+1.6</f>
        <v>3.0710000000000002</v>
      </c>
      <c r="J111" s="125">
        <v>1</v>
      </c>
      <c r="K111" s="7"/>
      <c r="L111" s="7">
        <f t="shared" ref="L111" si="15">F111*G111*I111*J111</f>
        <v>1.4126600000000002</v>
      </c>
      <c r="M111" s="111"/>
      <c r="N111" s="111"/>
      <c r="O111" s="111"/>
      <c r="P111" s="111"/>
    </row>
    <row r="112" spans="1:16" s="104" customFormat="1" x14ac:dyDescent="0.2">
      <c r="A112" s="98"/>
      <c r="B112" s="105"/>
      <c r="C112" s="114"/>
      <c r="D112" s="4"/>
      <c r="E112" s="124" t="s">
        <v>0</v>
      </c>
      <c r="F112" s="5">
        <v>1</v>
      </c>
      <c r="G112" s="6">
        <v>0.46</v>
      </c>
      <c r="H112" s="6"/>
      <c r="I112" s="7">
        <f>0.9-0.25+0.1+0.14+0.083*9+1.6</f>
        <v>3.2370000000000001</v>
      </c>
      <c r="J112" s="125">
        <v>1</v>
      </c>
      <c r="K112" s="7"/>
      <c r="L112" s="7">
        <f t="shared" ref="L112" si="16">F112*G112*I112*J112</f>
        <v>1.48902</v>
      </c>
      <c r="M112" s="111"/>
      <c r="N112" s="111"/>
      <c r="O112" s="111"/>
      <c r="P112" s="111"/>
    </row>
    <row r="113" spans="1:16" s="104" customFormat="1" x14ac:dyDescent="0.2">
      <c r="A113" s="98"/>
      <c r="B113" s="105"/>
      <c r="C113" s="114"/>
      <c r="D113" s="4"/>
      <c r="E113" s="124" t="s">
        <v>0</v>
      </c>
      <c r="F113" s="5">
        <v>1</v>
      </c>
      <c r="G113" s="6">
        <v>0.46</v>
      </c>
      <c r="H113" s="6"/>
      <c r="I113" s="7">
        <f>0.9-0.25+0.1+0.14+0.083*10+1.6</f>
        <v>3.3200000000000003</v>
      </c>
      <c r="J113" s="125">
        <v>1</v>
      </c>
      <c r="K113" s="7"/>
      <c r="L113" s="7">
        <f t="shared" ref="L113" si="17">F113*G113*I113*J113</f>
        <v>1.5272000000000001</v>
      </c>
      <c r="M113" s="111"/>
      <c r="N113" s="111"/>
      <c r="O113" s="111"/>
      <c r="P113" s="111"/>
    </row>
    <row r="114" spans="1:16" s="104" customFormat="1" x14ac:dyDescent="0.2">
      <c r="A114" s="98"/>
      <c r="B114" s="105"/>
      <c r="C114" s="114"/>
      <c r="D114" s="4"/>
      <c r="E114" s="124" t="s">
        <v>0</v>
      </c>
      <c r="F114" s="5">
        <v>1</v>
      </c>
      <c r="G114" s="6">
        <v>0.46</v>
      </c>
      <c r="H114" s="6"/>
      <c r="I114" s="7">
        <f>0.9-0.25+0.1+0.14+0.083*11+1.6</f>
        <v>3.403</v>
      </c>
      <c r="J114" s="125">
        <v>1</v>
      </c>
      <c r="K114" s="7"/>
      <c r="L114" s="7">
        <f t="shared" ref="L114" si="18">F114*G114*I114*J114</f>
        <v>1.56538</v>
      </c>
      <c r="M114" s="111"/>
      <c r="N114" s="111"/>
      <c r="O114" s="111"/>
      <c r="P114" s="111"/>
    </row>
    <row r="115" spans="1:16" s="104" customFormat="1" x14ac:dyDescent="0.2">
      <c r="A115" s="98"/>
      <c r="B115" s="105"/>
      <c r="C115" s="114"/>
      <c r="D115" s="4" t="s">
        <v>101</v>
      </c>
      <c r="E115" s="124" t="s">
        <v>0</v>
      </c>
      <c r="F115" s="5">
        <v>1</v>
      </c>
      <c r="G115" s="6">
        <v>1.46</v>
      </c>
      <c r="H115" s="6"/>
      <c r="I115" s="7">
        <f>0.9-0.25+0.1+0.14+0.083*14+1.6</f>
        <v>3.6520000000000001</v>
      </c>
      <c r="J115" s="125">
        <v>1</v>
      </c>
      <c r="K115" s="7"/>
      <c r="L115" s="7">
        <f t="shared" ref="L115:L123" si="19">F115*G115*I115*J115</f>
        <v>5.3319200000000002</v>
      </c>
      <c r="M115" s="111"/>
      <c r="N115" s="111"/>
      <c r="O115" s="111"/>
      <c r="P115" s="111"/>
    </row>
    <row r="116" spans="1:16" s="104" customFormat="1" x14ac:dyDescent="0.2">
      <c r="A116" s="98"/>
      <c r="B116" s="105"/>
      <c r="C116" s="114"/>
      <c r="D116" s="4"/>
      <c r="E116" s="124" t="s">
        <v>0</v>
      </c>
      <c r="F116" s="5">
        <v>1</v>
      </c>
      <c r="G116" s="6">
        <v>0.46</v>
      </c>
      <c r="H116" s="6"/>
      <c r="I116" s="7">
        <f>0.9-0.25+0.1+0.14+0.083*15+1.6</f>
        <v>3.7350000000000003</v>
      </c>
      <c r="J116" s="125">
        <v>1</v>
      </c>
      <c r="K116" s="7"/>
      <c r="L116" s="7">
        <f t="shared" si="19"/>
        <v>1.7181000000000002</v>
      </c>
      <c r="M116" s="111"/>
      <c r="N116" s="111"/>
      <c r="O116" s="111"/>
      <c r="P116" s="111"/>
    </row>
    <row r="117" spans="1:16" s="104" customFormat="1" x14ac:dyDescent="0.2">
      <c r="A117" s="98"/>
      <c r="B117" s="105"/>
      <c r="C117" s="114"/>
      <c r="D117" s="4"/>
      <c r="E117" s="124" t="s">
        <v>0</v>
      </c>
      <c r="F117" s="5">
        <v>1</v>
      </c>
      <c r="G117" s="6">
        <v>0.46</v>
      </c>
      <c r="H117" s="6"/>
      <c r="I117" s="7">
        <f>0.9-0.25+0.1+0.14+0.083*16+1.6</f>
        <v>3.8180000000000001</v>
      </c>
      <c r="J117" s="125">
        <v>1</v>
      </c>
      <c r="K117" s="7"/>
      <c r="L117" s="7">
        <f t="shared" si="19"/>
        <v>1.7562800000000001</v>
      </c>
      <c r="M117" s="111"/>
      <c r="N117" s="111"/>
      <c r="O117" s="111"/>
      <c r="P117" s="111"/>
    </row>
    <row r="118" spans="1:16" s="104" customFormat="1" x14ac:dyDescent="0.2">
      <c r="A118" s="98"/>
      <c r="B118" s="105"/>
      <c r="C118" s="114"/>
      <c r="D118" s="4"/>
      <c r="E118" s="124" t="s">
        <v>0</v>
      </c>
      <c r="F118" s="5">
        <v>1</v>
      </c>
      <c r="G118" s="6">
        <v>0.46</v>
      </c>
      <c r="H118" s="6"/>
      <c r="I118" s="7">
        <f>0.9-0.25+0.1+0.14+0.083*17+1.6</f>
        <v>3.9010000000000002</v>
      </c>
      <c r="J118" s="125">
        <v>1</v>
      </c>
      <c r="K118" s="7"/>
      <c r="L118" s="7">
        <f t="shared" si="19"/>
        <v>1.7944600000000002</v>
      </c>
      <c r="M118" s="111"/>
      <c r="N118" s="111"/>
      <c r="O118" s="111"/>
      <c r="P118" s="111"/>
    </row>
    <row r="119" spans="1:16" s="104" customFormat="1" x14ac:dyDescent="0.2">
      <c r="A119" s="98"/>
      <c r="B119" s="105"/>
      <c r="C119" s="114"/>
      <c r="D119" s="4"/>
      <c r="E119" s="124" t="s">
        <v>0</v>
      </c>
      <c r="F119" s="5">
        <v>1</v>
      </c>
      <c r="G119" s="6">
        <v>0.46</v>
      </c>
      <c r="H119" s="6"/>
      <c r="I119" s="7">
        <f>0.9-0.25+0.1+0.14+0.083*18+1.6</f>
        <v>3.984</v>
      </c>
      <c r="J119" s="125">
        <v>1</v>
      </c>
      <c r="K119" s="7"/>
      <c r="L119" s="7">
        <f t="shared" si="19"/>
        <v>1.83264</v>
      </c>
      <c r="M119" s="111"/>
      <c r="N119" s="111"/>
      <c r="O119" s="111"/>
      <c r="P119" s="111"/>
    </row>
    <row r="120" spans="1:16" s="104" customFormat="1" x14ac:dyDescent="0.2">
      <c r="A120" s="98"/>
      <c r="B120" s="105"/>
      <c r="C120" s="114"/>
      <c r="D120" s="4"/>
      <c r="E120" s="124" t="s">
        <v>0</v>
      </c>
      <c r="F120" s="5">
        <v>1</v>
      </c>
      <c r="G120" s="6">
        <v>0.46</v>
      </c>
      <c r="H120" s="6"/>
      <c r="I120" s="7">
        <f>0.9-0.25+0.1+0.14+0.083*19+1.6</f>
        <v>4.0670000000000002</v>
      </c>
      <c r="J120" s="125">
        <v>1</v>
      </c>
      <c r="K120" s="7"/>
      <c r="L120" s="7">
        <f t="shared" si="19"/>
        <v>1.8708200000000001</v>
      </c>
      <c r="M120" s="111"/>
      <c r="N120" s="111"/>
      <c r="O120" s="111"/>
      <c r="P120" s="111"/>
    </row>
    <row r="121" spans="1:16" s="104" customFormat="1" x14ac:dyDescent="0.2">
      <c r="A121" s="98"/>
      <c r="B121" s="105"/>
      <c r="C121" s="114"/>
      <c r="D121" s="4"/>
      <c r="E121" s="124" t="s">
        <v>0</v>
      </c>
      <c r="F121" s="5">
        <v>1</v>
      </c>
      <c r="G121" s="6">
        <v>0.46</v>
      </c>
      <c r="H121" s="6"/>
      <c r="I121" s="7">
        <f>0.9-0.25+0.1+0.14+0.083*20+1.6</f>
        <v>4.1500000000000004</v>
      </c>
      <c r="J121" s="125">
        <v>1</v>
      </c>
      <c r="K121" s="7"/>
      <c r="L121" s="7">
        <f t="shared" si="19"/>
        <v>1.9090000000000003</v>
      </c>
      <c r="M121" s="111"/>
      <c r="N121" s="111"/>
      <c r="O121" s="111"/>
      <c r="P121" s="111"/>
    </row>
    <row r="122" spans="1:16" s="104" customFormat="1" x14ac:dyDescent="0.2">
      <c r="A122" s="98"/>
      <c r="B122" s="105"/>
      <c r="C122" s="114"/>
      <c r="D122" s="4"/>
      <c r="E122" s="124" t="s">
        <v>0</v>
      </c>
      <c r="F122" s="5">
        <v>1</v>
      </c>
      <c r="G122" s="6">
        <v>0.46</v>
      </c>
      <c r="H122" s="6"/>
      <c r="I122" s="7">
        <f>0.9-0.25+0.1+0.14+0.083*21+1.6</f>
        <v>4.2330000000000005</v>
      </c>
      <c r="J122" s="125">
        <v>1</v>
      </c>
      <c r="K122" s="7"/>
      <c r="L122" s="7">
        <f t="shared" si="19"/>
        <v>1.9471800000000004</v>
      </c>
      <c r="M122" s="111"/>
      <c r="N122" s="111"/>
      <c r="O122" s="111"/>
      <c r="P122" s="111"/>
    </row>
    <row r="123" spans="1:16" s="104" customFormat="1" x14ac:dyDescent="0.2">
      <c r="A123" s="98"/>
      <c r="B123" s="105"/>
      <c r="C123" s="114"/>
      <c r="D123" s="4"/>
      <c r="E123" s="124" t="s">
        <v>0</v>
      </c>
      <c r="F123" s="5">
        <v>1</v>
      </c>
      <c r="G123" s="6">
        <v>0.46</v>
      </c>
      <c r="H123" s="6"/>
      <c r="I123" s="7">
        <f>0.9-0.25+0.1+0.14+0.083*22+1.6</f>
        <v>4.3160000000000007</v>
      </c>
      <c r="J123" s="125">
        <v>1</v>
      </c>
      <c r="K123" s="7"/>
      <c r="L123" s="7">
        <f t="shared" si="19"/>
        <v>1.9853600000000005</v>
      </c>
      <c r="M123" s="111"/>
      <c r="N123" s="111"/>
      <c r="O123" s="111"/>
      <c r="P123" s="111"/>
    </row>
    <row r="124" spans="1:16" s="104" customFormat="1" x14ac:dyDescent="0.2">
      <c r="A124" s="98"/>
      <c r="B124" s="105"/>
      <c r="C124" s="114"/>
      <c r="D124" s="115" t="s">
        <v>68</v>
      </c>
      <c r="E124" s="108"/>
      <c r="F124" s="109"/>
      <c r="G124" s="110"/>
      <c r="H124" s="110"/>
      <c r="I124" s="111"/>
      <c r="J124" s="112"/>
      <c r="K124" s="111"/>
      <c r="L124" s="111"/>
      <c r="M124" s="111"/>
      <c r="N124" s="111"/>
      <c r="O124" s="111"/>
      <c r="P124" s="111"/>
    </row>
    <row r="125" spans="1:16" s="104" customFormat="1" x14ac:dyDescent="0.2">
      <c r="A125" s="98"/>
      <c r="B125" s="105"/>
      <c r="C125" s="114"/>
      <c r="D125" s="4" t="s">
        <v>101</v>
      </c>
      <c r="E125" s="124" t="s">
        <v>0</v>
      </c>
      <c r="F125" s="5">
        <v>1</v>
      </c>
      <c r="G125" s="6">
        <v>0.46</v>
      </c>
      <c r="H125" s="6"/>
      <c r="I125" s="7">
        <v>3.1</v>
      </c>
      <c r="J125" s="125">
        <v>1</v>
      </c>
      <c r="K125" s="7"/>
      <c r="L125" s="7">
        <f>F125*G125*I125*J125</f>
        <v>1.4260000000000002</v>
      </c>
      <c r="M125" s="111"/>
      <c r="N125" s="111"/>
      <c r="O125" s="111"/>
      <c r="P125" s="111"/>
    </row>
    <row r="126" spans="1:16" s="104" customFormat="1" x14ac:dyDescent="0.2">
      <c r="A126" s="98"/>
      <c r="B126" s="105"/>
      <c r="C126" s="114"/>
      <c r="D126" s="115" t="s">
        <v>44</v>
      </c>
      <c r="E126" s="10"/>
      <c r="F126" s="109"/>
      <c r="G126" s="110"/>
      <c r="H126" s="110"/>
      <c r="I126" s="111"/>
      <c r="J126" s="112"/>
      <c r="K126" s="111"/>
      <c r="L126" s="111"/>
      <c r="M126" s="111"/>
      <c r="N126" s="111"/>
      <c r="O126" s="111"/>
      <c r="P126" s="111"/>
    </row>
    <row r="127" spans="1:16" s="104" customFormat="1" x14ac:dyDescent="0.2">
      <c r="A127" s="98"/>
      <c r="B127" s="105"/>
      <c r="C127" s="114"/>
      <c r="D127" s="4" t="s">
        <v>53</v>
      </c>
      <c r="E127" s="124" t="s">
        <v>0</v>
      </c>
      <c r="F127" s="5">
        <v>4</v>
      </c>
      <c r="G127" s="6">
        <v>1.51</v>
      </c>
      <c r="H127" s="6"/>
      <c r="I127" s="7">
        <f>1.2-0.25</f>
        <v>0.95</v>
      </c>
      <c r="J127" s="125">
        <v>1</v>
      </c>
      <c r="K127" s="7"/>
      <c r="L127" s="7">
        <f>F127*G127*I127*J127</f>
        <v>5.7379999999999995</v>
      </c>
      <c r="M127" s="111"/>
      <c r="N127" s="111"/>
      <c r="O127" s="111"/>
      <c r="P127" s="111"/>
    </row>
    <row r="128" spans="1:16" s="104" customFormat="1" x14ac:dyDescent="0.2">
      <c r="A128" s="98"/>
      <c r="B128" s="105"/>
      <c r="C128" s="114"/>
      <c r="D128" s="4" t="s">
        <v>100</v>
      </c>
      <c r="E128" s="124" t="s">
        <v>0</v>
      </c>
      <c r="F128" s="5">
        <v>6</v>
      </c>
      <c r="G128" s="6">
        <v>0.49</v>
      </c>
      <c r="H128" s="6"/>
      <c r="I128" s="7">
        <f>1.2-0.25</f>
        <v>0.95</v>
      </c>
      <c r="J128" s="125">
        <v>1</v>
      </c>
      <c r="K128" s="7"/>
      <c r="L128" s="7">
        <f>F128*G128*I128*J128</f>
        <v>2.7929999999999997</v>
      </c>
      <c r="M128" s="111"/>
      <c r="N128" s="111"/>
      <c r="O128" s="111"/>
      <c r="P128" s="111"/>
    </row>
    <row r="129" spans="1:16" s="104" customFormat="1" x14ac:dyDescent="0.2">
      <c r="A129" s="98"/>
      <c r="B129" s="105"/>
      <c r="C129" s="114"/>
      <c r="D129" s="4" t="s">
        <v>101</v>
      </c>
      <c r="E129" s="124" t="s">
        <v>0</v>
      </c>
      <c r="F129" s="5">
        <v>9</v>
      </c>
      <c r="G129" s="6">
        <v>0.49</v>
      </c>
      <c r="H129" s="6"/>
      <c r="I129" s="7">
        <v>1.2</v>
      </c>
      <c r="J129" s="125">
        <v>1</v>
      </c>
      <c r="K129" s="7"/>
      <c r="L129" s="7">
        <f>F129*G129*I129*J129</f>
        <v>5.2919999999999998</v>
      </c>
      <c r="M129" s="111"/>
      <c r="N129" s="111"/>
      <c r="O129" s="111"/>
      <c r="P129" s="111"/>
    </row>
    <row r="130" spans="1:16" s="104" customFormat="1" x14ac:dyDescent="0.2">
      <c r="A130" s="98"/>
      <c r="B130" s="105"/>
      <c r="C130" s="114"/>
      <c r="D130" s="115" t="s">
        <v>106</v>
      </c>
      <c r="E130" s="108"/>
      <c r="F130" s="109"/>
      <c r="G130" s="110"/>
      <c r="H130" s="110"/>
      <c r="I130" s="111"/>
      <c r="J130" s="112"/>
      <c r="K130" s="111"/>
      <c r="L130" s="111"/>
      <c r="M130" s="111"/>
      <c r="N130" s="111"/>
      <c r="O130" s="111"/>
      <c r="P130" s="111"/>
    </row>
    <row r="131" spans="1:16" s="104" customFormat="1" x14ac:dyDescent="0.2">
      <c r="A131" s="98"/>
      <c r="B131" s="105"/>
      <c r="C131" s="114"/>
      <c r="D131" s="4" t="s">
        <v>53</v>
      </c>
      <c r="E131" s="124" t="s">
        <v>0</v>
      </c>
      <c r="F131" s="5">
        <v>4</v>
      </c>
      <c r="G131" s="6">
        <v>1.51</v>
      </c>
      <c r="H131" s="6"/>
      <c r="I131" s="7">
        <v>1.6</v>
      </c>
      <c r="J131" s="125">
        <v>1</v>
      </c>
      <c r="K131" s="7"/>
      <c r="L131" s="7">
        <f>F131*G131*I131*J131</f>
        <v>9.6640000000000015</v>
      </c>
      <c r="M131" s="111"/>
      <c r="N131" s="111"/>
      <c r="O131" s="111"/>
      <c r="P131" s="111"/>
    </row>
    <row r="132" spans="1:16" s="104" customFormat="1" x14ac:dyDescent="0.2">
      <c r="A132" s="98"/>
      <c r="B132" s="105"/>
      <c r="C132" s="114"/>
      <c r="D132" s="4" t="s">
        <v>100</v>
      </c>
      <c r="E132" s="124" t="s">
        <v>0</v>
      </c>
      <c r="F132" s="5">
        <v>1</v>
      </c>
      <c r="G132" s="6">
        <v>1.46</v>
      </c>
      <c r="H132" s="6"/>
      <c r="I132" s="7">
        <v>1.6</v>
      </c>
      <c r="J132" s="125">
        <v>1</v>
      </c>
      <c r="K132" s="7"/>
      <c r="L132" s="7">
        <f>F132*G132*I132*J132</f>
        <v>2.3359999999999999</v>
      </c>
      <c r="M132" s="111"/>
      <c r="N132" s="111"/>
      <c r="O132" s="111"/>
      <c r="P132" s="111"/>
    </row>
    <row r="133" spans="1:16" s="104" customFormat="1" x14ac:dyDescent="0.2">
      <c r="A133" s="98"/>
      <c r="B133" s="105"/>
      <c r="C133" s="114"/>
      <c r="D133" s="4"/>
      <c r="E133" s="124" t="s">
        <v>0</v>
      </c>
      <c r="F133" s="5">
        <v>6</v>
      </c>
      <c r="G133" s="6">
        <v>0.46</v>
      </c>
      <c r="H133" s="6"/>
      <c r="I133" s="7">
        <v>1.6</v>
      </c>
      <c r="J133" s="125">
        <v>1</v>
      </c>
      <c r="K133" s="7"/>
      <c r="L133" s="7">
        <f>F133*G133*I133*J133</f>
        <v>4.4160000000000004</v>
      </c>
      <c r="M133" s="111"/>
      <c r="N133" s="111"/>
      <c r="O133" s="111"/>
      <c r="P133" s="111"/>
    </row>
    <row r="134" spans="1:16" s="104" customFormat="1" x14ac:dyDescent="0.2">
      <c r="A134" s="98"/>
      <c r="B134" s="105"/>
      <c r="C134" s="114"/>
      <c r="D134" s="4" t="s">
        <v>101</v>
      </c>
      <c r="E134" s="124" t="s">
        <v>0</v>
      </c>
      <c r="F134" s="5">
        <v>1</v>
      </c>
      <c r="G134" s="6">
        <v>1.46</v>
      </c>
      <c r="H134" s="6"/>
      <c r="I134" s="7">
        <v>1.6</v>
      </c>
      <c r="J134" s="125">
        <v>1</v>
      </c>
      <c r="K134" s="7"/>
      <c r="L134" s="7">
        <f>F134*G134*I134*J134</f>
        <v>2.3359999999999999</v>
      </c>
      <c r="M134" s="111"/>
      <c r="N134" s="111"/>
      <c r="O134" s="111"/>
      <c r="P134" s="111"/>
    </row>
    <row r="135" spans="1:16" s="104" customFormat="1" x14ac:dyDescent="0.2">
      <c r="A135" s="98"/>
      <c r="B135" s="105"/>
      <c r="C135" s="114"/>
      <c r="D135" s="4"/>
      <c r="E135" s="124" t="s">
        <v>0</v>
      </c>
      <c r="F135" s="5">
        <v>9</v>
      </c>
      <c r="G135" s="6">
        <v>0.46</v>
      </c>
      <c r="H135" s="6"/>
      <c r="I135" s="7">
        <f>1.6-0.25</f>
        <v>1.35</v>
      </c>
      <c r="J135" s="125">
        <v>1</v>
      </c>
      <c r="K135" s="7"/>
      <c r="L135" s="7">
        <f>F135*G135*I135*J135</f>
        <v>5.5890000000000013</v>
      </c>
      <c r="M135" s="111"/>
      <c r="N135" s="111"/>
      <c r="O135" s="111"/>
      <c r="P135" s="111"/>
    </row>
    <row r="136" spans="1:16" s="104" customFormat="1" x14ac:dyDescent="0.2">
      <c r="A136" s="98"/>
      <c r="B136" s="105"/>
      <c r="C136" s="114"/>
      <c r="D136" s="115" t="s">
        <v>107</v>
      </c>
      <c r="E136" s="10"/>
      <c r="F136" s="109"/>
      <c r="G136" s="110"/>
      <c r="H136" s="110"/>
      <c r="I136" s="111"/>
      <c r="J136" s="112"/>
      <c r="K136" s="111"/>
      <c r="L136" s="111"/>
      <c r="M136" s="111"/>
      <c r="N136" s="111"/>
      <c r="O136" s="111"/>
      <c r="P136" s="111"/>
    </row>
    <row r="137" spans="1:16" s="104" customFormat="1" x14ac:dyDescent="0.2">
      <c r="A137" s="98"/>
      <c r="B137" s="105"/>
      <c r="C137" s="114"/>
      <c r="D137" s="4" t="s">
        <v>53</v>
      </c>
      <c r="E137" s="124" t="s">
        <v>0</v>
      </c>
      <c r="F137" s="5">
        <v>4</v>
      </c>
      <c r="G137" s="6">
        <v>1.51</v>
      </c>
      <c r="H137" s="6"/>
      <c r="I137" s="7">
        <f>1.2-0.25</f>
        <v>0.95</v>
      </c>
      <c r="J137" s="125">
        <v>1</v>
      </c>
      <c r="K137" s="7"/>
      <c r="L137" s="7">
        <f>F137*G137*I137*J137</f>
        <v>5.7379999999999995</v>
      </c>
      <c r="M137" s="111"/>
      <c r="N137" s="111"/>
      <c r="O137" s="111"/>
      <c r="P137" s="111"/>
    </row>
    <row r="138" spans="1:16" s="104" customFormat="1" x14ac:dyDescent="0.2">
      <c r="A138" s="98"/>
      <c r="B138" s="105"/>
      <c r="C138" s="114"/>
      <c r="D138" s="4" t="s">
        <v>100</v>
      </c>
      <c r="E138" s="124" t="s">
        <v>0</v>
      </c>
      <c r="F138" s="5">
        <v>6</v>
      </c>
      <c r="G138" s="6">
        <v>0.49</v>
      </c>
      <c r="H138" s="6"/>
      <c r="I138" s="7">
        <f>1.2-0.25</f>
        <v>0.95</v>
      </c>
      <c r="J138" s="125">
        <v>1</v>
      </c>
      <c r="K138" s="7"/>
      <c r="L138" s="7">
        <f>F138*G138*I138*J138</f>
        <v>2.7929999999999997</v>
      </c>
      <c r="M138" s="111"/>
      <c r="N138" s="111"/>
      <c r="O138" s="111"/>
      <c r="P138" s="111"/>
    </row>
    <row r="139" spans="1:16" s="104" customFormat="1" x14ac:dyDescent="0.2">
      <c r="A139" s="98"/>
      <c r="B139" s="105"/>
      <c r="C139" s="114"/>
      <c r="D139" s="4" t="s">
        <v>101</v>
      </c>
      <c r="E139" s="124" t="s">
        <v>0</v>
      </c>
      <c r="F139" s="5">
        <v>9</v>
      </c>
      <c r="G139" s="6">
        <v>0.49</v>
      </c>
      <c r="H139" s="6"/>
      <c r="I139" s="7">
        <v>1.2</v>
      </c>
      <c r="J139" s="125">
        <v>1</v>
      </c>
      <c r="K139" s="7"/>
      <c r="L139" s="7">
        <f>F139*G139*I139*J139</f>
        <v>5.2919999999999998</v>
      </c>
      <c r="M139" s="111"/>
      <c r="N139" s="111"/>
      <c r="O139" s="111"/>
      <c r="P139" s="111"/>
    </row>
    <row r="140" spans="1:16" s="104" customFormat="1" x14ac:dyDescent="0.2">
      <c r="A140" s="98"/>
      <c r="B140" s="105"/>
      <c r="C140" s="114"/>
      <c r="D140" s="115" t="s">
        <v>51</v>
      </c>
      <c r="E140" s="108"/>
      <c r="F140" s="109"/>
      <c r="G140" s="110"/>
      <c r="H140" s="110"/>
      <c r="I140" s="111"/>
      <c r="J140" s="112"/>
      <c r="K140" s="111"/>
      <c r="L140" s="111"/>
      <c r="M140" s="111"/>
      <c r="N140" s="111"/>
      <c r="O140" s="111"/>
      <c r="P140" s="111"/>
    </row>
    <row r="141" spans="1:16" s="104" customFormat="1" x14ac:dyDescent="0.2">
      <c r="A141" s="98"/>
      <c r="B141" s="105"/>
      <c r="C141" s="114"/>
      <c r="D141" s="4" t="s">
        <v>53</v>
      </c>
      <c r="E141" s="124" t="s">
        <v>0</v>
      </c>
      <c r="F141" s="5">
        <v>4</v>
      </c>
      <c r="G141" s="6">
        <v>1.51</v>
      </c>
      <c r="H141" s="6"/>
      <c r="I141" s="7">
        <v>1.6</v>
      </c>
      <c r="J141" s="125">
        <v>1</v>
      </c>
      <c r="K141" s="7"/>
      <c r="L141" s="7">
        <f>F141*G141*I141*J141</f>
        <v>9.6640000000000015</v>
      </c>
      <c r="M141" s="111"/>
      <c r="N141" s="111"/>
      <c r="O141" s="111"/>
      <c r="P141" s="111"/>
    </row>
    <row r="142" spans="1:16" s="104" customFormat="1" x14ac:dyDescent="0.2">
      <c r="A142" s="98"/>
      <c r="B142" s="105"/>
      <c r="C142" s="114"/>
      <c r="D142" s="4" t="s">
        <v>100</v>
      </c>
      <c r="E142" s="124" t="s">
        <v>0</v>
      </c>
      <c r="F142" s="5">
        <v>1</v>
      </c>
      <c r="G142" s="6">
        <v>1.46</v>
      </c>
      <c r="H142" s="6"/>
      <c r="I142" s="7">
        <v>1.6</v>
      </c>
      <c r="J142" s="125">
        <v>1</v>
      </c>
      <c r="K142" s="7"/>
      <c r="L142" s="7">
        <f>F142*G142*I142*J142</f>
        <v>2.3359999999999999</v>
      </c>
      <c r="M142" s="111"/>
      <c r="N142" s="111"/>
      <c r="O142" s="111"/>
      <c r="P142" s="111"/>
    </row>
    <row r="143" spans="1:16" s="104" customFormat="1" x14ac:dyDescent="0.2">
      <c r="A143" s="98"/>
      <c r="B143" s="105"/>
      <c r="C143" s="114"/>
      <c r="D143" s="4"/>
      <c r="E143" s="124" t="s">
        <v>0</v>
      </c>
      <c r="F143" s="5">
        <v>6</v>
      </c>
      <c r="G143" s="6">
        <v>0.46</v>
      </c>
      <c r="H143" s="6"/>
      <c r="I143" s="7">
        <v>1.6</v>
      </c>
      <c r="J143" s="125">
        <v>1</v>
      </c>
      <c r="K143" s="7"/>
      <c r="L143" s="7">
        <f>F143*G143*I143*J143</f>
        <v>4.4160000000000004</v>
      </c>
      <c r="M143" s="111"/>
      <c r="N143" s="111"/>
      <c r="O143" s="111"/>
      <c r="P143" s="111"/>
    </row>
    <row r="144" spans="1:16" s="104" customFormat="1" x14ac:dyDescent="0.2">
      <c r="A144" s="98"/>
      <c r="B144" s="105"/>
      <c r="C144" s="114"/>
      <c r="D144" s="4" t="s">
        <v>101</v>
      </c>
      <c r="E144" s="124" t="s">
        <v>0</v>
      </c>
      <c r="F144" s="5">
        <v>1</v>
      </c>
      <c r="G144" s="6">
        <v>1.46</v>
      </c>
      <c r="H144" s="6"/>
      <c r="I144" s="7">
        <v>1.6</v>
      </c>
      <c r="J144" s="125">
        <v>1</v>
      </c>
      <c r="K144" s="7"/>
      <c r="L144" s="7">
        <f>F144*G144*I144*J144</f>
        <v>2.3359999999999999</v>
      </c>
      <c r="M144" s="111"/>
      <c r="N144" s="111"/>
      <c r="O144" s="111"/>
      <c r="P144" s="111"/>
    </row>
    <row r="145" spans="1:16" s="104" customFormat="1" x14ac:dyDescent="0.2">
      <c r="A145" s="98"/>
      <c r="B145" s="105"/>
      <c r="C145" s="114"/>
      <c r="D145" s="4"/>
      <c r="E145" s="124" t="s">
        <v>0</v>
      </c>
      <c r="F145" s="5">
        <v>9</v>
      </c>
      <c r="G145" s="6">
        <v>0.46</v>
      </c>
      <c r="H145" s="6"/>
      <c r="I145" s="7">
        <v>1.6</v>
      </c>
      <c r="J145" s="125">
        <v>1</v>
      </c>
      <c r="K145" s="7"/>
      <c r="L145" s="7">
        <f>F145*G145*I145*J145</f>
        <v>6.6240000000000014</v>
      </c>
      <c r="M145" s="111"/>
      <c r="N145" s="111"/>
      <c r="O145" s="111"/>
      <c r="P145" s="111"/>
    </row>
    <row r="146" spans="1:16" s="104" customFormat="1" x14ac:dyDescent="0.2">
      <c r="A146" s="98"/>
      <c r="B146" s="105"/>
      <c r="C146" s="114"/>
      <c r="D146" s="115" t="s">
        <v>102</v>
      </c>
      <c r="E146" s="116"/>
      <c r="F146" s="109"/>
      <c r="G146" s="110"/>
      <c r="H146" s="110"/>
      <c r="I146" s="111"/>
      <c r="J146" s="112"/>
      <c r="K146" s="111"/>
      <c r="L146" s="111"/>
      <c r="M146" s="111"/>
      <c r="N146" s="111"/>
      <c r="O146" s="111"/>
      <c r="P146" s="111"/>
    </row>
    <row r="147" spans="1:16" s="104" customFormat="1" x14ac:dyDescent="0.2">
      <c r="A147" s="98"/>
      <c r="B147" s="105"/>
      <c r="C147" s="114"/>
      <c r="D147" s="4" t="s">
        <v>34</v>
      </c>
      <c r="E147" s="124" t="s">
        <v>0</v>
      </c>
      <c r="F147" s="5">
        <v>4</v>
      </c>
      <c r="G147" s="6">
        <v>0.6</v>
      </c>
      <c r="H147" s="6"/>
      <c r="I147" s="7">
        <v>2.15</v>
      </c>
      <c r="J147" s="125">
        <v>1</v>
      </c>
      <c r="K147" s="7"/>
      <c r="L147" s="7">
        <f>F147*G147*I147*J147</f>
        <v>5.1599999999999993</v>
      </c>
      <c r="M147" s="111"/>
      <c r="N147" s="111"/>
      <c r="O147" s="111"/>
      <c r="P147" s="111"/>
    </row>
    <row r="148" spans="1:16" s="104" customFormat="1" x14ac:dyDescent="0.2">
      <c r="A148" s="98"/>
      <c r="B148" s="105"/>
      <c r="C148" s="114"/>
      <c r="D148" s="4" t="s">
        <v>99</v>
      </c>
      <c r="E148" s="124" t="s">
        <v>0</v>
      </c>
      <c r="F148" s="5">
        <v>1</v>
      </c>
      <c r="G148" s="6">
        <v>0.4</v>
      </c>
      <c r="H148" s="6"/>
      <c r="I148" s="7">
        <v>2.15</v>
      </c>
      <c r="J148" s="125">
        <v>1</v>
      </c>
      <c r="K148" s="7"/>
      <c r="L148" s="7">
        <f>F148*G148*I148*J148</f>
        <v>0.86</v>
      </c>
      <c r="M148" s="111"/>
      <c r="N148" s="111"/>
      <c r="O148" s="111"/>
      <c r="P148" s="111"/>
    </row>
    <row r="149" spans="1:16" s="104" customFormat="1" x14ac:dyDescent="0.2">
      <c r="A149" s="98"/>
      <c r="B149" s="105"/>
      <c r="C149" s="114"/>
      <c r="D149" s="4" t="s">
        <v>103</v>
      </c>
      <c r="E149" s="124" t="s">
        <v>0</v>
      </c>
      <c r="F149" s="5">
        <v>1</v>
      </c>
      <c r="G149" s="6">
        <v>0.4</v>
      </c>
      <c r="H149" s="6"/>
      <c r="I149" s="7">
        <v>2.15</v>
      </c>
      <c r="J149" s="125">
        <v>1</v>
      </c>
      <c r="K149" s="7"/>
      <c r="L149" s="7">
        <f>F149*G149*I149*J149</f>
        <v>0.86</v>
      </c>
      <c r="M149" s="111"/>
      <c r="N149" s="111"/>
      <c r="O149" s="111"/>
      <c r="P149" s="111"/>
    </row>
    <row r="150" spans="1:16" s="104" customFormat="1" x14ac:dyDescent="0.2">
      <c r="A150" s="98"/>
      <c r="B150" s="105"/>
      <c r="C150" s="114"/>
      <c r="D150" s="107" t="s">
        <v>58</v>
      </c>
      <c r="E150" s="116"/>
      <c r="F150" s="109"/>
      <c r="G150" s="110"/>
      <c r="H150" s="110"/>
      <c r="I150" s="111"/>
      <c r="J150" s="112"/>
      <c r="K150" s="111"/>
      <c r="L150" s="111"/>
      <c r="M150" s="111"/>
      <c r="N150" s="111"/>
      <c r="O150" s="111"/>
      <c r="P150" s="111"/>
    </row>
    <row r="151" spans="1:16" s="104" customFormat="1" x14ac:dyDescent="0.2">
      <c r="A151" s="98"/>
      <c r="B151" s="105"/>
      <c r="C151" s="114"/>
      <c r="D151" s="115" t="s">
        <v>33</v>
      </c>
      <c r="E151" s="116"/>
      <c r="F151" s="109"/>
      <c r="G151" s="110"/>
      <c r="H151" s="110"/>
      <c r="I151" s="111"/>
      <c r="J151" s="112"/>
      <c r="K151" s="111"/>
      <c r="L151" s="111"/>
      <c r="M151" s="111"/>
      <c r="N151" s="111"/>
      <c r="O151" s="111"/>
      <c r="P151" s="111"/>
    </row>
    <row r="152" spans="1:16" s="104" customFormat="1" x14ac:dyDescent="0.2">
      <c r="A152" s="98"/>
      <c r="B152" s="105"/>
      <c r="C152" s="114"/>
      <c r="D152" s="4" t="s">
        <v>108</v>
      </c>
      <c r="E152" s="124" t="s">
        <v>0</v>
      </c>
      <c r="F152" s="5">
        <v>1</v>
      </c>
      <c r="G152" s="6">
        <v>1.52</v>
      </c>
      <c r="H152" s="6"/>
      <c r="I152" s="7">
        <v>3.1</v>
      </c>
      <c r="J152" s="125">
        <v>1</v>
      </c>
      <c r="K152" s="7"/>
      <c r="L152" s="7">
        <f>F152*G152*I152*J152</f>
        <v>4.7120000000000006</v>
      </c>
      <c r="M152" s="111"/>
      <c r="N152" s="111"/>
      <c r="O152" s="111"/>
      <c r="P152" s="111"/>
    </row>
    <row r="153" spans="1:16" s="104" customFormat="1" x14ac:dyDescent="0.2">
      <c r="A153" s="98"/>
      <c r="B153" s="105"/>
      <c r="C153" s="114"/>
      <c r="D153" s="4"/>
      <c r="E153" s="124" t="s">
        <v>0</v>
      </c>
      <c r="F153" s="5">
        <v>1</v>
      </c>
      <c r="G153" s="6">
        <v>1.41</v>
      </c>
      <c r="H153" s="6"/>
      <c r="I153" s="7">
        <v>3.1</v>
      </c>
      <c r="J153" s="125">
        <v>1</v>
      </c>
      <c r="K153" s="7"/>
      <c r="L153" s="7">
        <f>F153*G153*I153*J153</f>
        <v>4.3709999999999996</v>
      </c>
      <c r="M153" s="111"/>
      <c r="N153" s="111"/>
      <c r="O153" s="111"/>
      <c r="P153" s="111"/>
    </row>
    <row r="154" spans="1:16" s="104" customFormat="1" x14ac:dyDescent="0.2">
      <c r="A154" s="98"/>
      <c r="B154" s="105"/>
      <c r="C154" s="114"/>
      <c r="D154" s="115" t="s">
        <v>109</v>
      </c>
      <c r="E154" s="116"/>
      <c r="F154" s="109"/>
      <c r="G154" s="110"/>
      <c r="H154" s="110"/>
      <c r="I154" s="111"/>
      <c r="J154" s="112"/>
      <c r="K154" s="111"/>
      <c r="L154" s="111"/>
      <c r="M154" s="111"/>
      <c r="N154" s="111"/>
      <c r="O154" s="111"/>
      <c r="P154" s="111"/>
    </row>
    <row r="155" spans="1:16" s="104" customFormat="1" x14ac:dyDescent="0.2">
      <c r="A155" s="98"/>
      <c r="B155" s="105"/>
      <c r="C155" s="114"/>
      <c r="D155" s="4" t="s">
        <v>98</v>
      </c>
      <c r="E155" s="124" t="s">
        <v>0</v>
      </c>
      <c r="F155" s="5">
        <v>1</v>
      </c>
      <c r="G155" s="6">
        <v>1.7</v>
      </c>
      <c r="H155" s="6"/>
      <c r="I155" s="7">
        <v>3.1</v>
      </c>
      <c r="J155" s="125">
        <v>1</v>
      </c>
      <c r="K155" s="7"/>
      <c r="L155" s="7">
        <f>F155*G155*I155*J155</f>
        <v>5.27</v>
      </c>
      <c r="M155" s="111"/>
      <c r="N155" s="111"/>
      <c r="O155" s="111"/>
      <c r="P155" s="111"/>
    </row>
    <row r="156" spans="1:16" s="104" customFormat="1" x14ac:dyDescent="0.2">
      <c r="A156" s="98"/>
      <c r="B156" s="105"/>
      <c r="C156" s="114"/>
      <c r="D156" s="4"/>
      <c r="E156" s="124" t="s">
        <v>0</v>
      </c>
      <c r="F156" s="5">
        <v>1</v>
      </c>
      <c r="G156" s="6">
        <v>2.0699999999999998</v>
      </c>
      <c r="H156" s="6"/>
      <c r="I156" s="7">
        <v>3.1</v>
      </c>
      <c r="J156" s="125">
        <v>1</v>
      </c>
      <c r="K156" s="7"/>
      <c r="L156" s="7">
        <f>F156*G156*I156*J156</f>
        <v>6.4169999999999998</v>
      </c>
      <c r="M156" s="111"/>
      <c r="N156" s="111"/>
      <c r="O156" s="111"/>
      <c r="P156" s="111"/>
    </row>
    <row r="157" spans="1:16" s="104" customFormat="1" x14ac:dyDescent="0.2">
      <c r="A157" s="98"/>
      <c r="B157" s="105"/>
      <c r="C157" s="114"/>
      <c r="D157" s="4"/>
      <c r="E157" s="124" t="s">
        <v>0</v>
      </c>
      <c r="F157" s="5">
        <v>1</v>
      </c>
      <c r="G157" s="6">
        <v>1.77</v>
      </c>
      <c r="H157" s="6"/>
      <c r="I157" s="7">
        <f>3.1-0.2</f>
        <v>2.9</v>
      </c>
      <c r="J157" s="125">
        <v>1</v>
      </c>
      <c r="K157" s="7"/>
      <c r="L157" s="7">
        <f>F157*G157*I157*J157</f>
        <v>5.133</v>
      </c>
      <c r="M157" s="111"/>
      <c r="N157" s="111"/>
      <c r="O157" s="111"/>
      <c r="P157" s="111"/>
    </row>
    <row r="158" spans="1:16" s="104" customFormat="1" x14ac:dyDescent="0.2">
      <c r="A158" s="98"/>
      <c r="B158" s="105"/>
      <c r="C158" s="114"/>
      <c r="D158" s="4"/>
      <c r="E158" s="124" t="s">
        <v>0</v>
      </c>
      <c r="F158" s="5">
        <v>1</v>
      </c>
      <c r="G158" s="6">
        <v>1.77</v>
      </c>
      <c r="H158" s="6"/>
      <c r="I158" s="7">
        <f>3.1-0.4</f>
        <v>2.7</v>
      </c>
      <c r="J158" s="125">
        <v>1</v>
      </c>
      <c r="K158" s="7"/>
      <c r="L158" s="7">
        <f>F158*G158*I158*J158</f>
        <v>4.7790000000000008</v>
      </c>
      <c r="M158" s="111"/>
      <c r="N158" s="111"/>
      <c r="O158" s="111"/>
      <c r="P158" s="111"/>
    </row>
    <row r="159" spans="1:16" s="104" customFormat="1" x14ac:dyDescent="0.2">
      <c r="A159" s="98"/>
      <c r="B159" s="105"/>
      <c r="C159" s="114"/>
      <c r="D159" s="4"/>
      <c r="E159" s="124" t="s">
        <v>0</v>
      </c>
      <c r="F159" s="5">
        <v>1</v>
      </c>
      <c r="G159" s="6">
        <v>1.86</v>
      </c>
      <c r="H159" s="6"/>
      <c r="I159" s="7">
        <f>3.1-0.6</f>
        <v>2.5</v>
      </c>
      <c r="J159" s="125">
        <v>1</v>
      </c>
      <c r="K159" s="7"/>
      <c r="L159" s="7">
        <f>F159*G159*I159*J159</f>
        <v>4.6500000000000004</v>
      </c>
      <c r="M159" s="111"/>
      <c r="N159" s="111"/>
      <c r="O159" s="111"/>
      <c r="P159" s="111"/>
    </row>
    <row r="160" spans="1:16" s="104" customFormat="1" x14ac:dyDescent="0.2">
      <c r="A160" s="98"/>
      <c r="B160" s="105"/>
      <c r="C160" s="114"/>
      <c r="D160" s="115" t="s">
        <v>68</v>
      </c>
      <c r="E160" s="116"/>
      <c r="F160" s="109"/>
      <c r="G160" s="110"/>
      <c r="H160" s="110"/>
      <c r="I160" s="111"/>
      <c r="J160" s="112"/>
      <c r="K160" s="111"/>
      <c r="L160" s="111"/>
      <c r="M160" s="111"/>
      <c r="N160" s="111"/>
      <c r="O160" s="111"/>
      <c r="P160" s="111"/>
    </row>
    <row r="161" spans="1:16" s="104" customFormat="1" x14ac:dyDescent="0.2">
      <c r="A161" s="98"/>
      <c r="B161" s="105"/>
      <c r="C161" s="114"/>
      <c r="D161" s="4" t="s">
        <v>110</v>
      </c>
      <c r="E161" s="124" t="s">
        <v>0</v>
      </c>
      <c r="F161" s="5">
        <v>1</v>
      </c>
      <c r="G161" s="6">
        <v>1.52</v>
      </c>
      <c r="H161" s="6"/>
      <c r="I161" s="7">
        <f>3.1-0.75</f>
        <v>2.35</v>
      </c>
      <c r="J161" s="125">
        <v>1</v>
      </c>
      <c r="K161" s="7"/>
      <c r="L161" s="7">
        <f>F161*G161*I161*J161</f>
        <v>3.5720000000000001</v>
      </c>
      <c r="M161" s="111"/>
      <c r="N161" s="111"/>
      <c r="O161" s="111"/>
      <c r="P161" s="111"/>
    </row>
    <row r="162" spans="1:16" s="104" customFormat="1" x14ac:dyDescent="0.2">
      <c r="A162" s="98"/>
      <c r="B162" s="105"/>
      <c r="C162" s="114"/>
      <c r="D162" s="4"/>
      <c r="E162" s="124" t="s">
        <v>0</v>
      </c>
      <c r="F162" s="5">
        <v>1</v>
      </c>
      <c r="G162" s="6">
        <v>1.41</v>
      </c>
      <c r="H162" s="6"/>
      <c r="I162" s="7">
        <f>3.1-0.75</f>
        <v>2.35</v>
      </c>
      <c r="J162" s="125">
        <v>1</v>
      </c>
      <c r="K162" s="7"/>
      <c r="L162" s="7">
        <f>F162*G162*I162*J162</f>
        <v>3.3134999999999999</v>
      </c>
      <c r="M162" s="111"/>
      <c r="N162" s="111"/>
      <c r="O162" s="111"/>
      <c r="P162" s="111"/>
    </row>
    <row r="163" spans="1:16" s="104" customFormat="1" x14ac:dyDescent="0.2">
      <c r="A163" s="98"/>
      <c r="B163" s="105"/>
      <c r="C163" s="106"/>
      <c r="D163" s="120"/>
      <c r="E163" s="121"/>
      <c r="F163" s="3"/>
      <c r="G163" s="122"/>
      <c r="H163" s="122"/>
      <c r="I163" s="122"/>
      <c r="J163" s="119"/>
      <c r="K163" s="113"/>
      <c r="L163" s="113"/>
      <c r="M163" s="113"/>
      <c r="N163" s="113"/>
      <c r="O163" s="113"/>
      <c r="P163" s="113"/>
    </row>
    <row r="164" spans="1:16" s="104" customFormat="1" x14ac:dyDescent="0.2">
      <c r="A164" s="98"/>
      <c r="B164" s="105"/>
      <c r="C164" s="99" t="s">
        <v>1182</v>
      </c>
      <c r="D164" s="100" t="s">
        <v>520</v>
      </c>
      <c r="E164" s="101" t="s">
        <v>0</v>
      </c>
      <c r="F164" s="1"/>
      <c r="G164" s="2"/>
      <c r="H164" s="2"/>
      <c r="I164" s="2"/>
      <c r="J164" s="102"/>
      <c r="K164" s="103"/>
      <c r="L164" s="103"/>
      <c r="M164" s="103"/>
      <c r="N164" s="103"/>
      <c r="O164" s="103"/>
      <c r="P164" s="103">
        <f>SUM(L164:L304)</f>
        <v>270.36049999999994</v>
      </c>
    </row>
    <row r="165" spans="1:16" s="104" customFormat="1" x14ac:dyDescent="0.2">
      <c r="A165" s="98"/>
      <c r="B165" s="105"/>
      <c r="C165" s="99"/>
      <c r="D165" s="123" t="s">
        <v>59</v>
      </c>
      <c r="E165" s="101"/>
      <c r="F165" s="1"/>
      <c r="G165" s="2"/>
      <c r="H165" s="2"/>
      <c r="I165" s="2"/>
      <c r="J165" s="102"/>
      <c r="K165" s="103"/>
      <c r="L165" s="103"/>
      <c r="M165" s="103"/>
      <c r="N165" s="103"/>
      <c r="O165" s="103"/>
      <c r="P165" s="103"/>
    </row>
    <row r="166" spans="1:16" s="104" customFormat="1" x14ac:dyDescent="0.2">
      <c r="A166" s="98"/>
      <c r="B166" s="105"/>
      <c r="C166" s="106"/>
      <c r="D166" s="115" t="s">
        <v>60</v>
      </c>
      <c r="E166" s="116"/>
      <c r="F166" s="109"/>
      <c r="G166" s="110"/>
      <c r="H166" s="110"/>
      <c r="I166" s="111"/>
      <c r="J166" s="112"/>
      <c r="K166" s="111"/>
      <c r="L166" s="111"/>
      <c r="M166" s="113"/>
      <c r="N166" s="113"/>
      <c r="O166" s="113"/>
      <c r="P166" s="113"/>
    </row>
    <row r="167" spans="1:16" s="104" customFormat="1" x14ac:dyDescent="0.2">
      <c r="A167" s="98"/>
      <c r="B167" s="105"/>
      <c r="C167" s="106"/>
      <c r="D167" s="127" t="s">
        <v>61</v>
      </c>
      <c r="E167" s="128" t="s">
        <v>0</v>
      </c>
      <c r="F167" s="129">
        <v>1</v>
      </c>
      <c r="G167" s="130">
        <v>1.65</v>
      </c>
      <c r="H167" s="130"/>
      <c r="I167" s="130">
        <v>2.65</v>
      </c>
      <c r="J167" s="129">
        <v>1</v>
      </c>
      <c r="K167" s="130"/>
      <c r="L167" s="130">
        <f t="shared" ref="L167:L173" si="20">F167*G167*I167*J167</f>
        <v>4.3724999999999996</v>
      </c>
      <c r="M167" s="113"/>
      <c r="N167" s="113"/>
      <c r="O167" s="113"/>
      <c r="P167" s="113"/>
    </row>
    <row r="168" spans="1:16" s="104" customFormat="1" x14ac:dyDescent="0.2">
      <c r="A168" s="98"/>
      <c r="B168" s="105"/>
      <c r="C168" s="114"/>
      <c r="D168" s="127" t="s">
        <v>62</v>
      </c>
      <c r="E168" s="128" t="s">
        <v>0</v>
      </c>
      <c r="F168" s="129">
        <v>1</v>
      </c>
      <c r="G168" s="130">
        <f>0.9+0.6</f>
        <v>1.5</v>
      </c>
      <c r="H168" s="130"/>
      <c r="I168" s="130">
        <v>2.65</v>
      </c>
      <c r="J168" s="129">
        <v>1</v>
      </c>
      <c r="K168" s="130"/>
      <c r="L168" s="130">
        <f t="shared" si="20"/>
        <v>3.9749999999999996</v>
      </c>
      <c r="M168" s="111"/>
      <c r="N168" s="111"/>
      <c r="O168" s="111"/>
      <c r="P168" s="111"/>
    </row>
    <row r="169" spans="1:16" s="104" customFormat="1" x14ac:dyDescent="0.2">
      <c r="A169" s="98"/>
      <c r="B169" s="105"/>
      <c r="C169" s="114"/>
      <c r="D169" s="127" t="s">
        <v>63</v>
      </c>
      <c r="E169" s="128" t="s">
        <v>0</v>
      </c>
      <c r="F169" s="129">
        <v>1</v>
      </c>
      <c r="G169" s="130">
        <f>0.9+0.6</f>
        <v>1.5</v>
      </c>
      <c r="H169" s="130"/>
      <c r="I169" s="130">
        <v>2.65</v>
      </c>
      <c r="J169" s="129">
        <v>1</v>
      </c>
      <c r="K169" s="130"/>
      <c r="L169" s="130">
        <f t="shared" si="20"/>
        <v>3.9749999999999996</v>
      </c>
      <c r="M169" s="111"/>
      <c r="N169" s="111"/>
      <c r="O169" s="111"/>
      <c r="P169" s="111"/>
    </row>
    <row r="170" spans="1:16" s="104" customFormat="1" x14ac:dyDescent="0.2">
      <c r="A170" s="98"/>
      <c r="B170" s="105"/>
      <c r="C170" s="114"/>
      <c r="D170" s="127" t="s">
        <v>64</v>
      </c>
      <c r="E170" s="128" t="s">
        <v>0</v>
      </c>
      <c r="F170" s="129">
        <v>1</v>
      </c>
      <c r="G170" s="130">
        <v>1.65</v>
      </c>
      <c r="H170" s="130"/>
      <c r="I170" s="130">
        <v>2.65</v>
      </c>
      <c r="J170" s="129">
        <v>1</v>
      </c>
      <c r="K170" s="130"/>
      <c r="L170" s="130">
        <f t="shared" si="20"/>
        <v>4.3724999999999996</v>
      </c>
      <c r="M170" s="111"/>
      <c r="N170" s="111"/>
      <c r="O170" s="111"/>
      <c r="P170" s="111"/>
    </row>
    <row r="171" spans="1:16" s="104" customFormat="1" x14ac:dyDescent="0.2">
      <c r="A171" s="98"/>
      <c r="B171" s="105"/>
      <c r="C171" s="114"/>
      <c r="D171" s="127" t="s">
        <v>65</v>
      </c>
      <c r="E171" s="128" t="s">
        <v>0</v>
      </c>
      <c r="F171" s="129">
        <v>1</v>
      </c>
      <c r="G171" s="130">
        <v>1.5</v>
      </c>
      <c r="H171" s="130"/>
      <c r="I171" s="130">
        <v>2.65</v>
      </c>
      <c r="J171" s="129">
        <v>1</v>
      </c>
      <c r="K171" s="130"/>
      <c r="L171" s="130">
        <f t="shared" si="20"/>
        <v>3.9749999999999996</v>
      </c>
      <c r="M171" s="111"/>
      <c r="N171" s="111"/>
      <c r="O171" s="111"/>
      <c r="P171" s="111"/>
    </row>
    <row r="172" spans="1:16" s="104" customFormat="1" x14ac:dyDescent="0.2">
      <c r="A172" s="98"/>
      <c r="B172" s="105"/>
      <c r="C172" s="114"/>
      <c r="D172" s="127" t="s">
        <v>66</v>
      </c>
      <c r="E172" s="128" t="s">
        <v>0</v>
      </c>
      <c r="F172" s="129">
        <v>7</v>
      </c>
      <c r="G172" s="130">
        <v>0.4</v>
      </c>
      <c r="H172" s="130"/>
      <c r="I172" s="130">
        <v>4.9000000000000004</v>
      </c>
      <c r="J172" s="129">
        <v>1</v>
      </c>
      <c r="K172" s="130"/>
      <c r="L172" s="130">
        <f t="shared" si="20"/>
        <v>13.720000000000002</v>
      </c>
      <c r="M172" s="111"/>
      <c r="N172" s="111"/>
      <c r="O172" s="111"/>
      <c r="P172" s="111"/>
    </row>
    <row r="173" spans="1:16" s="104" customFormat="1" x14ac:dyDescent="0.2">
      <c r="A173" s="98"/>
      <c r="B173" s="105"/>
      <c r="C173" s="114"/>
      <c r="D173" s="127" t="s">
        <v>67</v>
      </c>
      <c r="E173" s="128" t="s">
        <v>0</v>
      </c>
      <c r="F173" s="129">
        <v>7</v>
      </c>
      <c r="G173" s="130">
        <v>0.4</v>
      </c>
      <c r="H173" s="130"/>
      <c r="I173" s="130">
        <v>4.9000000000000004</v>
      </c>
      <c r="J173" s="129">
        <v>1</v>
      </c>
      <c r="K173" s="130"/>
      <c r="L173" s="130">
        <f t="shared" si="20"/>
        <v>13.720000000000002</v>
      </c>
      <c r="M173" s="111"/>
      <c r="N173" s="111"/>
      <c r="O173" s="111"/>
      <c r="P173" s="111"/>
    </row>
    <row r="174" spans="1:16" s="104" customFormat="1" x14ac:dyDescent="0.2">
      <c r="A174" s="98"/>
      <c r="B174" s="105"/>
      <c r="C174" s="114"/>
      <c r="D174" s="115" t="s">
        <v>68</v>
      </c>
      <c r="E174" s="116"/>
      <c r="F174" s="109"/>
      <c r="G174" s="110"/>
      <c r="H174" s="110"/>
      <c r="I174" s="111"/>
      <c r="J174" s="112"/>
      <c r="K174" s="111"/>
      <c r="L174" s="111"/>
      <c r="M174" s="111"/>
      <c r="N174" s="111"/>
      <c r="O174" s="111"/>
      <c r="P174" s="111"/>
    </row>
    <row r="175" spans="1:16" s="104" customFormat="1" x14ac:dyDescent="0.2">
      <c r="A175" s="98"/>
      <c r="B175" s="105"/>
      <c r="C175" s="114"/>
      <c r="D175" s="4" t="s">
        <v>61</v>
      </c>
      <c r="E175" s="124" t="s">
        <v>0</v>
      </c>
      <c r="F175" s="5">
        <v>1</v>
      </c>
      <c r="G175" s="6">
        <v>0.3</v>
      </c>
      <c r="H175" s="6"/>
      <c r="I175" s="7">
        <v>1.6</v>
      </c>
      <c r="J175" s="125">
        <v>1</v>
      </c>
      <c r="K175" s="7"/>
      <c r="L175" s="7">
        <f t="shared" ref="L175:L179" si="21">F175*G175*I175*J175</f>
        <v>0.48</v>
      </c>
      <c r="M175" s="111"/>
      <c r="N175" s="111"/>
      <c r="O175" s="111"/>
      <c r="P175" s="111"/>
    </row>
    <row r="176" spans="1:16" s="104" customFormat="1" x14ac:dyDescent="0.2">
      <c r="A176" s="98"/>
      <c r="B176" s="105"/>
      <c r="C176" s="114"/>
      <c r="D176" s="4" t="s">
        <v>62</v>
      </c>
      <c r="E176" s="124" t="s">
        <v>0</v>
      </c>
      <c r="F176" s="5">
        <v>1</v>
      </c>
      <c r="G176" s="6">
        <v>0.6</v>
      </c>
      <c r="H176" s="6"/>
      <c r="I176" s="7">
        <v>1.6</v>
      </c>
      <c r="J176" s="125">
        <v>1</v>
      </c>
      <c r="K176" s="7"/>
      <c r="L176" s="7">
        <f t="shared" si="21"/>
        <v>0.96</v>
      </c>
      <c r="M176" s="111"/>
      <c r="N176" s="111"/>
      <c r="O176" s="111"/>
      <c r="P176" s="111"/>
    </row>
    <row r="177" spans="1:16" s="104" customFormat="1" x14ac:dyDescent="0.2">
      <c r="A177" s="98"/>
      <c r="B177" s="105"/>
      <c r="C177" s="114"/>
      <c r="D177" s="4" t="s">
        <v>63</v>
      </c>
      <c r="E177" s="124" t="s">
        <v>0</v>
      </c>
      <c r="F177" s="5">
        <v>1</v>
      </c>
      <c r="G177" s="6">
        <v>0.6</v>
      </c>
      <c r="H177" s="6"/>
      <c r="I177" s="7">
        <v>1.6</v>
      </c>
      <c r="J177" s="125">
        <v>1</v>
      </c>
      <c r="K177" s="7"/>
      <c r="L177" s="7">
        <f t="shared" si="21"/>
        <v>0.96</v>
      </c>
      <c r="M177" s="111"/>
      <c r="N177" s="111"/>
      <c r="O177" s="111"/>
      <c r="P177" s="111"/>
    </row>
    <row r="178" spans="1:16" s="104" customFormat="1" x14ac:dyDescent="0.2">
      <c r="A178" s="98"/>
      <c r="B178" s="105"/>
      <c r="C178" s="114"/>
      <c r="D178" s="4" t="s">
        <v>64</v>
      </c>
      <c r="E178" s="124" t="s">
        <v>0</v>
      </c>
      <c r="F178" s="5">
        <v>1</v>
      </c>
      <c r="G178" s="6">
        <v>0.6</v>
      </c>
      <c r="H178" s="6"/>
      <c r="I178" s="7">
        <v>1.6</v>
      </c>
      <c r="J178" s="125">
        <v>1</v>
      </c>
      <c r="K178" s="7"/>
      <c r="L178" s="7">
        <f t="shared" si="21"/>
        <v>0.96</v>
      </c>
      <c r="M178" s="111"/>
      <c r="N178" s="111"/>
      <c r="O178" s="111"/>
      <c r="P178" s="111"/>
    </row>
    <row r="179" spans="1:16" s="104" customFormat="1" x14ac:dyDescent="0.2">
      <c r="A179" s="98"/>
      <c r="B179" s="105"/>
      <c r="C179" s="114"/>
      <c r="D179" s="4" t="s">
        <v>65</v>
      </c>
      <c r="E179" s="124" t="s">
        <v>0</v>
      </c>
      <c r="F179" s="5">
        <v>1</v>
      </c>
      <c r="G179" s="6">
        <v>0.3</v>
      </c>
      <c r="H179" s="6"/>
      <c r="I179" s="7">
        <v>1.6</v>
      </c>
      <c r="J179" s="125">
        <v>1</v>
      </c>
      <c r="K179" s="7"/>
      <c r="L179" s="7">
        <f t="shared" si="21"/>
        <v>0.48</v>
      </c>
      <c r="M179" s="111"/>
      <c r="N179" s="111"/>
      <c r="O179" s="111"/>
      <c r="P179" s="111"/>
    </row>
    <row r="180" spans="1:16" s="104" customFormat="1" x14ac:dyDescent="0.2">
      <c r="A180" s="98"/>
      <c r="B180" s="105"/>
      <c r="C180" s="114"/>
      <c r="D180" s="115" t="s">
        <v>44</v>
      </c>
      <c r="E180" s="116"/>
      <c r="F180" s="109"/>
      <c r="G180" s="110"/>
      <c r="H180" s="110"/>
      <c r="I180" s="111"/>
      <c r="J180" s="112"/>
      <c r="K180" s="111"/>
      <c r="L180" s="111"/>
      <c r="M180" s="111"/>
      <c r="N180" s="111"/>
      <c r="O180" s="111"/>
      <c r="P180" s="111"/>
    </row>
    <row r="181" spans="1:16" s="104" customFormat="1" x14ac:dyDescent="0.2">
      <c r="A181" s="98"/>
      <c r="B181" s="105"/>
      <c r="C181" s="114"/>
      <c r="D181" s="4" t="s">
        <v>61</v>
      </c>
      <c r="E181" s="124" t="s">
        <v>0</v>
      </c>
      <c r="F181" s="5">
        <v>1</v>
      </c>
      <c r="G181" s="6">
        <v>0.3</v>
      </c>
      <c r="H181" s="6"/>
      <c r="I181" s="7">
        <v>1.2</v>
      </c>
      <c r="J181" s="125">
        <v>1</v>
      </c>
      <c r="K181" s="7"/>
      <c r="L181" s="7">
        <f t="shared" ref="L181:L187" si="22">F181*G181*I181*J181</f>
        <v>0.36</v>
      </c>
      <c r="M181" s="111"/>
      <c r="N181" s="111"/>
      <c r="O181" s="111"/>
      <c r="P181" s="111"/>
    </row>
    <row r="182" spans="1:16" s="104" customFormat="1" x14ac:dyDescent="0.2">
      <c r="A182" s="98"/>
      <c r="B182" s="105"/>
      <c r="C182" s="114"/>
      <c r="D182" s="4" t="s">
        <v>62</v>
      </c>
      <c r="E182" s="124" t="s">
        <v>0</v>
      </c>
      <c r="F182" s="5">
        <v>1</v>
      </c>
      <c r="G182" s="6">
        <v>0.6</v>
      </c>
      <c r="H182" s="6"/>
      <c r="I182" s="7">
        <v>1.2</v>
      </c>
      <c r="J182" s="125">
        <v>1</v>
      </c>
      <c r="K182" s="7"/>
      <c r="L182" s="7">
        <f t="shared" si="22"/>
        <v>0.72</v>
      </c>
      <c r="M182" s="111"/>
      <c r="N182" s="111"/>
      <c r="O182" s="111"/>
      <c r="P182" s="111"/>
    </row>
    <row r="183" spans="1:16" s="104" customFormat="1" x14ac:dyDescent="0.2">
      <c r="A183" s="98"/>
      <c r="B183" s="105"/>
      <c r="C183" s="114"/>
      <c r="D183" s="4" t="s">
        <v>63</v>
      </c>
      <c r="E183" s="124" t="s">
        <v>0</v>
      </c>
      <c r="F183" s="5">
        <v>1</v>
      </c>
      <c r="G183" s="6">
        <v>0.6</v>
      </c>
      <c r="H183" s="6"/>
      <c r="I183" s="7">
        <v>1.2</v>
      </c>
      <c r="J183" s="125">
        <v>1</v>
      </c>
      <c r="K183" s="7"/>
      <c r="L183" s="7">
        <f t="shared" si="22"/>
        <v>0.72</v>
      </c>
      <c r="M183" s="111"/>
      <c r="N183" s="111"/>
      <c r="O183" s="111"/>
      <c r="P183" s="111"/>
    </row>
    <row r="184" spans="1:16" s="104" customFormat="1" x14ac:dyDescent="0.2">
      <c r="A184" s="98"/>
      <c r="B184" s="105"/>
      <c r="C184" s="114"/>
      <c r="D184" s="4" t="s">
        <v>64</v>
      </c>
      <c r="E184" s="124" t="s">
        <v>0</v>
      </c>
      <c r="F184" s="5">
        <v>1</v>
      </c>
      <c r="G184" s="6">
        <v>0.6</v>
      </c>
      <c r="H184" s="6"/>
      <c r="I184" s="7">
        <v>1.2</v>
      </c>
      <c r="J184" s="125">
        <v>1</v>
      </c>
      <c r="K184" s="7"/>
      <c r="L184" s="7">
        <f t="shared" si="22"/>
        <v>0.72</v>
      </c>
      <c r="M184" s="111"/>
      <c r="N184" s="111"/>
      <c r="O184" s="111"/>
      <c r="P184" s="111"/>
    </row>
    <row r="185" spans="1:16" s="104" customFormat="1" x14ac:dyDescent="0.2">
      <c r="A185" s="98"/>
      <c r="B185" s="105"/>
      <c r="C185" s="114"/>
      <c r="D185" s="4" t="s">
        <v>65</v>
      </c>
      <c r="E185" s="124" t="s">
        <v>0</v>
      </c>
      <c r="F185" s="5">
        <v>1</v>
      </c>
      <c r="G185" s="6">
        <v>0.3</v>
      </c>
      <c r="H185" s="6"/>
      <c r="I185" s="7">
        <v>1.2</v>
      </c>
      <c r="J185" s="125">
        <v>1</v>
      </c>
      <c r="K185" s="7"/>
      <c r="L185" s="7">
        <f t="shared" si="22"/>
        <v>0.36</v>
      </c>
      <c r="M185" s="111"/>
      <c r="N185" s="111"/>
      <c r="O185" s="111"/>
      <c r="P185" s="111"/>
    </row>
    <row r="186" spans="1:16" s="104" customFormat="1" x14ac:dyDescent="0.2">
      <c r="A186" s="98"/>
      <c r="B186" s="105"/>
      <c r="C186" s="114"/>
      <c r="D186" s="4" t="s">
        <v>66</v>
      </c>
      <c r="E186" s="124" t="s">
        <v>0</v>
      </c>
      <c r="F186" s="5">
        <v>10</v>
      </c>
      <c r="G186" s="6">
        <v>0.4</v>
      </c>
      <c r="H186" s="6"/>
      <c r="I186" s="7">
        <v>1.2</v>
      </c>
      <c r="J186" s="125">
        <v>1</v>
      </c>
      <c r="K186" s="7"/>
      <c r="L186" s="7">
        <f t="shared" si="22"/>
        <v>4.8</v>
      </c>
      <c r="M186" s="111"/>
      <c r="N186" s="111"/>
      <c r="O186" s="111"/>
      <c r="P186" s="111"/>
    </row>
    <row r="187" spans="1:16" s="104" customFormat="1" x14ac:dyDescent="0.2">
      <c r="A187" s="98"/>
      <c r="B187" s="105"/>
      <c r="C187" s="114"/>
      <c r="D187" s="4" t="s">
        <v>67</v>
      </c>
      <c r="E187" s="124" t="s">
        <v>0</v>
      </c>
      <c r="F187" s="5">
        <v>10</v>
      </c>
      <c r="G187" s="6">
        <v>0.4</v>
      </c>
      <c r="H187" s="6"/>
      <c r="I187" s="7">
        <v>1.2</v>
      </c>
      <c r="J187" s="125">
        <v>1</v>
      </c>
      <c r="K187" s="7"/>
      <c r="L187" s="7">
        <f t="shared" si="22"/>
        <v>4.8</v>
      </c>
      <c r="M187" s="111"/>
      <c r="N187" s="111"/>
      <c r="O187" s="111"/>
      <c r="P187" s="111"/>
    </row>
    <row r="188" spans="1:16" s="104" customFormat="1" x14ac:dyDescent="0.2">
      <c r="A188" s="98"/>
      <c r="B188" s="105"/>
      <c r="C188" s="114"/>
      <c r="D188" s="115" t="s">
        <v>45</v>
      </c>
      <c r="E188" s="116"/>
      <c r="F188" s="109"/>
      <c r="G188" s="110"/>
      <c r="H188" s="110"/>
      <c r="I188" s="111"/>
      <c r="J188" s="112"/>
      <c r="K188" s="111"/>
      <c r="L188" s="111"/>
      <c r="M188" s="111"/>
      <c r="N188" s="111"/>
      <c r="O188" s="111"/>
      <c r="P188" s="111"/>
    </row>
    <row r="189" spans="1:16" s="104" customFormat="1" x14ac:dyDescent="0.2">
      <c r="A189" s="98"/>
      <c r="B189" s="105"/>
      <c r="C189" s="114"/>
      <c r="D189" s="4" t="s">
        <v>61</v>
      </c>
      <c r="E189" s="124" t="s">
        <v>0</v>
      </c>
      <c r="F189" s="5">
        <v>1</v>
      </c>
      <c r="G189" s="6">
        <v>0.3</v>
      </c>
      <c r="H189" s="6"/>
      <c r="I189" s="7">
        <v>1.6</v>
      </c>
      <c r="J189" s="125">
        <v>1</v>
      </c>
      <c r="K189" s="7"/>
      <c r="L189" s="7">
        <f t="shared" ref="L189:L195" si="23">F189*G189*I189*J189</f>
        <v>0.48</v>
      </c>
      <c r="M189" s="111"/>
      <c r="N189" s="111"/>
      <c r="O189" s="111"/>
      <c r="P189" s="111"/>
    </row>
    <row r="190" spans="1:16" s="104" customFormat="1" x14ac:dyDescent="0.2">
      <c r="A190" s="98"/>
      <c r="B190" s="105"/>
      <c r="C190" s="114"/>
      <c r="D190" s="4" t="s">
        <v>62</v>
      </c>
      <c r="E190" s="124" t="s">
        <v>0</v>
      </c>
      <c r="F190" s="5">
        <v>1</v>
      </c>
      <c r="G190" s="6">
        <v>0.6</v>
      </c>
      <c r="H190" s="6"/>
      <c r="I190" s="7">
        <v>1.6</v>
      </c>
      <c r="J190" s="125">
        <v>1</v>
      </c>
      <c r="K190" s="7"/>
      <c r="L190" s="7">
        <f t="shared" si="23"/>
        <v>0.96</v>
      </c>
      <c r="M190" s="111"/>
      <c r="N190" s="111"/>
      <c r="O190" s="111"/>
      <c r="P190" s="111"/>
    </row>
    <row r="191" spans="1:16" s="104" customFormat="1" x14ac:dyDescent="0.2">
      <c r="A191" s="98"/>
      <c r="B191" s="105"/>
      <c r="C191" s="114"/>
      <c r="D191" s="4" t="s">
        <v>63</v>
      </c>
      <c r="E191" s="124" t="s">
        <v>0</v>
      </c>
      <c r="F191" s="5">
        <v>1</v>
      </c>
      <c r="G191" s="6">
        <v>0.6</v>
      </c>
      <c r="H191" s="6"/>
      <c r="I191" s="7">
        <v>1.6</v>
      </c>
      <c r="J191" s="125">
        <v>1</v>
      </c>
      <c r="K191" s="7"/>
      <c r="L191" s="7">
        <f t="shared" si="23"/>
        <v>0.96</v>
      </c>
      <c r="M191" s="111"/>
      <c r="N191" s="111"/>
      <c r="O191" s="111"/>
      <c r="P191" s="111"/>
    </row>
    <row r="192" spans="1:16" s="104" customFormat="1" x14ac:dyDescent="0.2">
      <c r="A192" s="98"/>
      <c r="B192" s="105"/>
      <c r="C192" s="114"/>
      <c r="D192" s="4" t="s">
        <v>64</v>
      </c>
      <c r="E192" s="124" t="s">
        <v>0</v>
      </c>
      <c r="F192" s="5">
        <v>1</v>
      </c>
      <c r="G192" s="6">
        <v>0.6</v>
      </c>
      <c r="H192" s="6"/>
      <c r="I192" s="7">
        <v>1.6</v>
      </c>
      <c r="J192" s="125">
        <v>1</v>
      </c>
      <c r="K192" s="7"/>
      <c r="L192" s="7">
        <f t="shared" si="23"/>
        <v>0.96</v>
      </c>
      <c r="M192" s="111"/>
      <c r="N192" s="111"/>
      <c r="O192" s="111"/>
      <c r="P192" s="111"/>
    </row>
    <row r="193" spans="1:16" s="104" customFormat="1" x14ac:dyDescent="0.2">
      <c r="A193" s="98"/>
      <c r="B193" s="105"/>
      <c r="C193" s="114"/>
      <c r="D193" s="4" t="s">
        <v>65</v>
      </c>
      <c r="E193" s="124" t="s">
        <v>0</v>
      </c>
      <c r="F193" s="5">
        <v>1</v>
      </c>
      <c r="G193" s="6">
        <v>0.3</v>
      </c>
      <c r="H193" s="6"/>
      <c r="I193" s="7">
        <v>1.6</v>
      </c>
      <c r="J193" s="125">
        <v>1</v>
      </c>
      <c r="K193" s="7"/>
      <c r="L193" s="7">
        <f t="shared" si="23"/>
        <v>0.48</v>
      </c>
      <c r="M193" s="111"/>
      <c r="N193" s="111"/>
      <c r="O193" s="111"/>
      <c r="P193" s="111"/>
    </row>
    <row r="194" spans="1:16" s="104" customFormat="1" x14ac:dyDescent="0.2">
      <c r="A194" s="98"/>
      <c r="B194" s="105"/>
      <c r="C194" s="114"/>
      <c r="D194" s="4" t="s">
        <v>66</v>
      </c>
      <c r="E194" s="124" t="s">
        <v>0</v>
      </c>
      <c r="F194" s="5">
        <v>12</v>
      </c>
      <c r="G194" s="6">
        <v>0.4</v>
      </c>
      <c r="H194" s="6"/>
      <c r="I194" s="7">
        <v>1.6</v>
      </c>
      <c r="J194" s="125">
        <v>1</v>
      </c>
      <c r="K194" s="7"/>
      <c r="L194" s="7">
        <f t="shared" si="23"/>
        <v>7.6800000000000015</v>
      </c>
      <c r="M194" s="111"/>
      <c r="N194" s="111"/>
      <c r="O194" s="111"/>
      <c r="P194" s="111"/>
    </row>
    <row r="195" spans="1:16" s="104" customFormat="1" x14ac:dyDescent="0.2">
      <c r="A195" s="98"/>
      <c r="B195" s="105"/>
      <c r="C195" s="114"/>
      <c r="D195" s="4" t="s">
        <v>67</v>
      </c>
      <c r="E195" s="124" t="s">
        <v>0</v>
      </c>
      <c r="F195" s="5">
        <v>11</v>
      </c>
      <c r="G195" s="6">
        <v>0.4</v>
      </c>
      <c r="H195" s="6"/>
      <c r="I195" s="7">
        <v>1.6</v>
      </c>
      <c r="J195" s="125">
        <v>1</v>
      </c>
      <c r="K195" s="7"/>
      <c r="L195" s="7">
        <f t="shared" si="23"/>
        <v>7.0400000000000009</v>
      </c>
      <c r="M195" s="111"/>
      <c r="N195" s="111"/>
      <c r="O195" s="111"/>
      <c r="P195" s="111"/>
    </row>
    <row r="196" spans="1:16" s="104" customFormat="1" x14ac:dyDescent="0.2">
      <c r="A196" s="98"/>
      <c r="B196" s="105"/>
      <c r="C196" s="114"/>
      <c r="D196" s="115" t="s">
        <v>50</v>
      </c>
      <c r="E196" s="116"/>
      <c r="F196" s="109"/>
      <c r="G196" s="110"/>
      <c r="H196" s="110"/>
      <c r="I196" s="111"/>
      <c r="J196" s="112"/>
      <c r="K196" s="111"/>
      <c r="L196" s="111"/>
      <c r="M196" s="111"/>
      <c r="N196" s="111"/>
      <c r="O196" s="111"/>
      <c r="P196" s="111"/>
    </row>
    <row r="197" spans="1:16" s="104" customFormat="1" x14ac:dyDescent="0.2">
      <c r="A197" s="98"/>
      <c r="B197" s="105"/>
      <c r="C197" s="106"/>
      <c r="D197" s="4" t="s">
        <v>61</v>
      </c>
      <c r="E197" s="124" t="s">
        <v>0</v>
      </c>
      <c r="F197" s="5">
        <v>1</v>
      </c>
      <c r="G197" s="6">
        <v>0.3</v>
      </c>
      <c r="H197" s="6"/>
      <c r="I197" s="7">
        <v>1.2</v>
      </c>
      <c r="J197" s="125">
        <v>1</v>
      </c>
      <c r="K197" s="7"/>
      <c r="L197" s="7">
        <f t="shared" ref="L197:L203" si="24">F197*G197*I197*J197</f>
        <v>0.36</v>
      </c>
      <c r="M197" s="113"/>
      <c r="N197" s="113"/>
      <c r="O197" s="113"/>
      <c r="P197" s="113"/>
    </row>
    <row r="198" spans="1:16" s="104" customFormat="1" x14ac:dyDescent="0.2">
      <c r="A198" s="98"/>
      <c r="B198" s="105"/>
      <c r="C198" s="106"/>
      <c r="D198" s="4" t="s">
        <v>62</v>
      </c>
      <c r="E198" s="124" t="s">
        <v>0</v>
      </c>
      <c r="F198" s="5">
        <v>1</v>
      </c>
      <c r="G198" s="6">
        <v>0.6</v>
      </c>
      <c r="H198" s="6"/>
      <c r="I198" s="7">
        <v>1.2</v>
      </c>
      <c r="J198" s="125">
        <v>1</v>
      </c>
      <c r="K198" s="7"/>
      <c r="L198" s="7">
        <f t="shared" si="24"/>
        <v>0.72</v>
      </c>
      <c r="M198" s="113"/>
      <c r="N198" s="113"/>
      <c r="O198" s="113"/>
      <c r="P198" s="113"/>
    </row>
    <row r="199" spans="1:16" s="104" customFormat="1" x14ac:dyDescent="0.2">
      <c r="A199" s="98"/>
      <c r="B199" s="105"/>
      <c r="C199" s="114"/>
      <c r="D199" s="4" t="s">
        <v>63</v>
      </c>
      <c r="E199" s="124" t="s">
        <v>0</v>
      </c>
      <c r="F199" s="5">
        <v>1</v>
      </c>
      <c r="G199" s="6">
        <v>0.6</v>
      </c>
      <c r="H199" s="6"/>
      <c r="I199" s="7">
        <v>1.2</v>
      </c>
      <c r="J199" s="125">
        <v>1</v>
      </c>
      <c r="K199" s="7"/>
      <c r="L199" s="7">
        <f t="shared" si="24"/>
        <v>0.72</v>
      </c>
      <c r="M199" s="111"/>
      <c r="N199" s="111"/>
      <c r="O199" s="111"/>
      <c r="P199" s="111"/>
    </row>
    <row r="200" spans="1:16" s="104" customFormat="1" x14ac:dyDescent="0.2">
      <c r="A200" s="98"/>
      <c r="B200" s="105"/>
      <c r="C200" s="114"/>
      <c r="D200" s="4" t="s">
        <v>64</v>
      </c>
      <c r="E200" s="124" t="s">
        <v>0</v>
      </c>
      <c r="F200" s="5">
        <v>1</v>
      </c>
      <c r="G200" s="6">
        <v>0.6</v>
      </c>
      <c r="H200" s="6"/>
      <c r="I200" s="7">
        <v>1.2</v>
      </c>
      <c r="J200" s="125">
        <v>1</v>
      </c>
      <c r="K200" s="7"/>
      <c r="L200" s="7">
        <f t="shared" si="24"/>
        <v>0.72</v>
      </c>
      <c r="M200" s="111"/>
      <c r="N200" s="111"/>
      <c r="O200" s="111"/>
      <c r="P200" s="111"/>
    </row>
    <row r="201" spans="1:16" s="104" customFormat="1" x14ac:dyDescent="0.2">
      <c r="A201" s="98"/>
      <c r="B201" s="105"/>
      <c r="C201" s="114"/>
      <c r="D201" s="4" t="s">
        <v>65</v>
      </c>
      <c r="E201" s="124" t="s">
        <v>0</v>
      </c>
      <c r="F201" s="5">
        <v>1</v>
      </c>
      <c r="G201" s="6">
        <v>0.3</v>
      </c>
      <c r="H201" s="6"/>
      <c r="I201" s="7">
        <v>1.2</v>
      </c>
      <c r="J201" s="125">
        <v>1</v>
      </c>
      <c r="K201" s="7"/>
      <c r="L201" s="7">
        <f t="shared" si="24"/>
        <v>0.36</v>
      </c>
      <c r="M201" s="111"/>
      <c r="N201" s="111"/>
      <c r="O201" s="111"/>
      <c r="P201" s="111"/>
    </row>
    <row r="202" spans="1:16" s="104" customFormat="1" x14ac:dyDescent="0.2">
      <c r="A202" s="98"/>
      <c r="B202" s="105"/>
      <c r="C202" s="114"/>
      <c r="D202" s="4" t="s">
        <v>66</v>
      </c>
      <c r="E202" s="124" t="s">
        <v>0</v>
      </c>
      <c r="F202" s="5">
        <v>12</v>
      </c>
      <c r="G202" s="6">
        <v>0.4</v>
      </c>
      <c r="H202" s="6"/>
      <c r="I202" s="7">
        <v>1.2</v>
      </c>
      <c r="J202" s="125">
        <v>1</v>
      </c>
      <c r="K202" s="7"/>
      <c r="L202" s="7">
        <f t="shared" si="24"/>
        <v>5.7600000000000007</v>
      </c>
      <c r="M202" s="111"/>
      <c r="N202" s="111"/>
      <c r="O202" s="111"/>
      <c r="P202" s="111"/>
    </row>
    <row r="203" spans="1:16" s="104" customFormat="1" x14ac:dyDescent="0.2">
      <c r="A203" s="98"/>
      <c r="B203" s="105"/>
      <c r="C203" s="114"/>
      <c r="D203" s="4" t="s">
        <v>67</v>
      </c>
      <c r="E203" s="124" t="s">
        <v>0</v>
      </c>
      <c r="F203" s="5">
        <v>11</v>
      </c>
      <c r="G203" s="6">
        <v>0.4</v>
      </c>
      <c r="H203" s="6"/>
      <c r="I203" s="7">
        <v>1.2</v>
      </c>
      <c r="J203" s="125">
        <v>1</v>
      </c>
      <c r="K203" s="7"/>
      <c r="L203" s="7">
        <f t="shared" si="24"/>
        <v>5.28</v>
      </c>
      <c r="M203" s="111"/>
      <c r="N203" s="111"/>
      <c r="O203" s="111"/>
      <c r="P203" s="111"/>
    </row>
    <row r="204" spans="1:16" s="104" customFormat="1" x14ac:dyDescent="0.2">
      <c r="A204" s="98"/>
      <c r="B204" s="105"/>
      <c r="C204" s="114"/>
      <c r="D204" s="115" t="s">
        <v>69</v>
      </c>
      <c r="E204" s="116"/>
      <c r="F204" s="109"/>
      <c r="G204" s="110"/>
      <c r="H204" s="110"/>
      <c r="I204" s="111"/>
      <c r="J204" s="112"/>
      <c r="K204" s="111"/>
      <c r="L204" s="111"/>
      <c r="M204" s="111"/>
      <c r="N204" s="111"/>
      <c r="O204" s="111"/>
      <c r="P204" s="111"/>
    </row>
    <row r="205" spans="1:16" s="104" customFormat="1" x14ac:dyDescent="0.2">
      <c r="A205" s="98"/>
      <c r="B205" s="105"/>
      <c r="C205" s="114"/>
      <c r="D205" s="4" t="s">
        <v>61</v>
      </c>
      <c r="E205" s="124" t="s">
        <v>0</v>
      </c>
      <c r="F205" s="5">
        <v>1</v>
      </c>
      <c r="G205" s="6">
        <v>0.3</v>
      </c>
      <c r="H205" s="6"/>
      <c r="I205" s="7">
        <v>1.6</v>
      </c>
      <c r="J205" s="125">
        <v>1</v>
      </c>
      <c r="K205" s="7"/>
      <c r="L205" s="7">
        <f t="shared" ref="L205:L211" si="25">F205*G205*I205*J205</f>
        <v>0.48</v>
      </c>
      <c r="M205" s="111"/>
      <c r="N205" s="111"/>
      <c r="O205" s="111"/>
      <c r="P205" s="111"/>
    </row>
    <row r="206" spans="1:16" s="104" customFormat="1" x14ac:dyDescent="0.2">
      <c r="A206" s="98"/>
      <c r="B206" s="105"/>
      <c r="C206" s="114"/>
      <c r="D206" s="4" t="s">
        <v>62</v>
      </c>
      <c r="E206" s="124" t="s">
        <v>0</v>
      </c>
      <c r="F206" s="5">
        <v>1</v>
      </c>
      <c r="G206" s="6">
        <v>0.6</v>
      </c>
      <c r="H206" s="6"/>
      <c r="I206" s="7">
        <v>1.6</v>
      </c>
      <c r="J206" s="125">
        <v>1</v>
      </c>
      <c r="K206" s="7"/>
      <c r="L206" s="7">
        <f t="shared" si="25"/>
        <v>0.96</v>
      </c>
      <c r="M206" s="111"/>
      <c r="N206" s="111"/>
      <c r="O206" s="111"/>
      <c r="P206" s="111"/>
    </row>
    <row r="207" spans="1:16" s="104" customFormat="1" x14ac:dyDescent="0.2">
      <c r="A207" s="98"/>
      <c r="B207" s="105"/>
      <c r="C207" s="114"/>
      <c r="D207" s="4" t="s">
        <v>63</v>
      </c>
      <c r="E207" s="124" t="s">
        <v>0</v>
      </c>
      <c r="F207" s="5">
        <v>1</v>
      </c>
      <c r="G207" s="6">
        <v>0.6</v>
      </c>
      <c r="H207" s="6"/>
      <c r="I207" s="7">
        <v>1.6</v>
      </c>
      <c r="J207" s="125">
        <v>1</v>
      </c>
      <c r="K207" s="7"/>
      <c r="L207" s="7">
        <f t="shared" si="25"/>
        <v>0.96</v>
      </c>
      <c r="M207" s="111"/>
      <c r="N207" s="111"/>
      <c r="O207" s="111"/>
      <c r="P207" s="111"/>
    </row>
    <row r="208" spans="1:16" s="104" customFormat="1" x14ac:dyDescent="0.2">
      <c r="A208" s="98"/>
      <c r="B208" s="105"/>
      <c r="C208" s="114"/>
      <c r="D208" s="4" t="s">
        <v>64</v>
      </c>
      <c r="E208" s="124" t="s">
        <v>0</v>
      </c>
      <c r="F208" s="5">
        <v>1</v>
      </c>
      <c r="G208" s="6">
        <v>0.6</v>
      </c>
      <c r="H208" s="6"/>
      <c r="I208" s="7">
        <v>1.6</v>
      </c>
      <c r="J208" s="125">
        <v>1</v>
      </c>
      <c r="K208" s="7"/>
      <c r="L208" s="7">
        <f t="shared" si="25"/>
        <v>0.96</v>
      </c>
      <c r="M208" s="111"/>
      <c r="N208" s="111"/>
      <c r="O208" s="111"/>
      <c r="P208" s="111"/>
    </row>
    <row r="209" spans="1:16" s="104" customFormat="1" x14ac:dyDescent="0.2">
      <c r="A209" s="98"/>
      <c r="B209" s="105"/>
      <c r="C209" s="114"/>
      <c r="D209" s="4" t="s">
        <v>65</v>
      </c>
      <c r="E209" s="124" t="s">
        <v>0</v>
      </c>
      <c r="F209" s="5">
        <v>1</v>
      </c>
      <c r="G209" s="6">
        <v>0.3</v>
      </c>
      <c r="H209" s="6"/>
      <c r="I209" s="7">
        <v>1.6</v>
      </c>
      <c r="J209" s="125">
        <v>1</v>
      </c>
      <c r="K209" s="7"/>
      <c r="L209" s="7">
        <f t="shared" si="25"/>
        <v>0.48</v>
      </c>
      <c r="M209" s="111"/>
      <c r="N209" s="111"/>
      <c r="O209" s="111"/>
      <c r="P209" s="111"/>
    </row>
    <row r="210" spans="1:16" s="104" customFormat="1" x14ac:dyDescent="0.2">
      <c r="A210" s="98"/>
      <c r="B210" s="105"/>
      <c r="C210" s="114"/>
      <c r="D210" s="4" t="s">
        <v>66</v>
      </c>
      <c r="E210" s="124" t="s">
        <v>0</v>
      </c>
      <c r="F210" s="5">
        <v>12</v>
      </c>
      <c r="G210" s="6">
        <v>0.4</v>
      </c>
      <c r="H210" s="6"/>
      <c r="I210" s="7">
        <v>1.6</v>
      </c>
      <c r="J210" s="125">
        <v>1</v>
      </c>
      <c r="K210" s="7"/>
      <c r="L210" s="7">
        <f t="shared" si="25"/>
        <v>7.6800000000000015</v>
      </c>
      <c r="M210" s="111"/>
      <c r="N210" s="111"/>
      <c r="O210" s="111"/>
      <c r="P210" s="111"/>
    </row>
    <row r="211" spans="1:16" s="104" customFormat="1" x14ac:dyDescent="0.2">
      <c r="A211" s="98"/>
      <c r="B211" s="105"/>
      <c r="C211" s="114"/>
      <c r="D211" s="4" t="s">
        <v>67</v>
      </c>
      <c r="E211" s="124" t="s">
        <v>0</v>
      </c>
      <c r="F211" s="5">
        <v>11</v>
      </c>
      <c r="G211" s="6">
        <v>0.4</v>
      </c>
      <c r="H211" s="6"/>
      <c r="I211" s="7">
        <v>1.6</v>
      </c>
      <c r="J211" s="125">
        <v>1</v>
      </c>
      <c r="K211" s="7"/>
      <c r="L211" s="7">
        <f t="shared" si="25"/>
        <v>7.0400000000000009</v>
      </c>
      <c r="M211" s="111"/>
      <c r="N211" s="111"/>
      <c r="O211" s="111"/>
      <c r="P211" s="111"/>
    </row>
    <row r="212" spans="1:16" s="104" customFormat="1" x14ac:dyDescent="0.2">
      <c r="A212" s="98"/>
      <c r="B212" s="105"/>
      <c r="C212" s="114"/>
      <c r="D212" s="115" t="s">
        <v>70</v>
      </c>
      <c r="E212" s="116"/>
      <c r="F212" s="109"/>
      <c r="G212" s="110"/>
      <c r="H212" s="110"/>
      <c r="I212" s="111"/>
      <c r="J212" s="112"/>
      <c r="K212" s="111"/>
      <c r="L212" s="111"/>
      <c r="M212" s="111"/>
      <c r="N212" s="111"/>
      <c r="O212" s="111"/>
      <c r="P212" s="111"/>
    </row>
    <row r="213" spans="1:16" s="104" customFormat="1" x14ac:dyDescent="0.2">
      <c r="A213" s="98"/>
      <c r="B213" s="105"/>
      <c r="C213" s="114"/>
      <c r="D213" s="4" t="s">
        <v>61</v>
      </c>
      <c r="E213" s="124" t="s">
        <v>0</v>
      </c>
      <c r="F213" s="5">
        <v>1</v>
      </c>
      <c r="G213" s="6">
        <f>0.3+0.1</f>
        <v>0.4</v>
      </c>
      <c r="H213" s="6"/>
      <c r="I213" s="7">
        <v>2.15</v>
      </c>
      <c r="J213" s="125">
        <v>1</v>
      </c>
      <c r="K213" s="7"/>
      <c r="L213" s="7">
        <f t="shared" ref="L213:L219" si="26">F213*G213*I213*J213</f>
        <v>0.86</v>
      </c>
      <c r="M213" s="111"/>
      <c r="N213" s="111"/>
      <c r="O213" s="111"/>
      <c r="P213" s="111"/>
    </row>
    <row r="214" spans="1:16" s="104" customFormat="1" x14ac:dyDescent="0.2">
      <c r="A214" s="98"/>
      <c r="B214" s="105"/>
      <c r="C214" s="114"/>
      <c r="D214" s="4" t="s">
        <v>62</v>
      </c>
      <c r="E214" s="124" t="s">
        <v>0</v>
      </c>
      <c r="F214" s="5">
        <v>1</v>
      </c>
      <c r="G214" s="6">
        <f>0.6+0.1*2</f>
        <v>0.8</v>
      </c>
      <c r="H214" s="6"/>
      <c r="I214" s="7">
        <v>2.15</v>
      </c>
      <c r="J214" s="125">
        <v>1</v>
      </c>
      <c r="K214" s="7"/>
      <c r="L214" s="7">
        <f t="shared" si="26"/>
        <v>1.72</v>
      </c>
      <c r="M214" s="111"/>
      <c r="N214" s="111"/>
      <c r="O214" s="111"/>
      <c r="P214" s="111"/>
    </row>
    <row r="215" spans="1:16" s="104" customFormat="1" x14ac:dyDescent="0.2">
      <c r="A215" s="98"/>
      <c r="B215" s="105"/>
      <c r="C215" s="114"/>
      <c r="D215" s="4" t="s">
        <v>63</v>
      </c>
      <c r="E215" s="124" t="s">
        <v>0</v>
      </c>
      <c r="F215" s="5">
        <v>1</v>
      </c>
      <c r="G215" s="6">
        <f>0.6+0.1*2</f>
        <v>0.8</v>
      </c>
      <c r="H215" s="6"/>
      <c r="I215" s="7">
        <v>2.15</v>
      </c>
      <c r="J215" s="125">
        <v>1</v>
      </c>
      <c r="K215" s="7"/>
      <c r="L215" s="7">
        <f t="shared" si="26"/>
        <v>1.72</v>
      </c>
      <c r="M215" s="111"/>
      <c r="N215" s="111"/>
      <c r="O215" s="111"/>
      <c r="P215" s="111"/>
    </row>
    <row r="216" spans="1:16" s="104" customFormat="1" x14ac:dyDescent="0.2">
      <c r="A216" s="98"/>
      <c r="B216" s="105"/>
      <c r="C216" s="114"/>
      <c r="D216" s="4" t="s">
        <v>64</v>
      </c>
      <c r="E216" s="124" t="s">
        <v>0</v>
      </c>
      <c r="F216" s="5">
        <v>1</v>
      </c>
      <c r="G216" s="6">
        <f>0.6+0.1*2</f>
        <v>0.8</v>
      </c>
      <c r="H216" s="6"/>
      <c r="I216" s="7">
        <v>2.15</v>
      </c>
      <c r="J216" s="125">
        <v>1</v>
      </c>
      <c r="K216" s="7"/>
      <c r="L216" s="7">
        <f t="shared" si="26"/>
        <v>1.72</v>
      </c>
      <c r="M216" s="111"/>
      <c r="N216" s="111"/>
      <c r="O216" s="111"/>
      <c r="P216" s="111"/>
    </row>
    <row r="217" spans="1:16" s="104" customFormat="1" x14ac:dyDescent="0.2">
      <c r="A217" s="98"/>
      <c r="B217" s="105"/>
      <c r="C217" s="114"/>
      <c r="D217" s="4" t="s">
        <v>65</v>
      </c>
      <c r="E217" s="124" t="s">
        <v>0</v>
      </c>
      <c r="F217" s="5">
        <v>1</v>
      </c>
      <c r="G217" s="6">
        <f>0.3+0.1</f>
        <v>0.4</v>
      </c>
      <c r="H217" s="6"/>
      <c r="I217" s="7">
        <v>2.15</v>
      </c>
      <c r="J217" s="125">
        <v>1</v>
      </c>
      <c r="K217" s="7"/>
      <c r="L217" s="7">
        <f t="shared" si="26"/>
        <v>0.86</v>
      </c>
      <c r="M217" s="111"/>
      <c r="N217" s="111"/>
      <c r="O217" s="111"/>
      <c r="P217" s="111"/>
    </row>
    <row r="218" spans="1:16" s="104" customFormat="1" x14ac:dyDescent="0.2">
      <c r="A218" s="98"/>
      <c r="B218" s="105"/>
      <c r="C218" s="114"/>
      <c r="D218" s="4" t="s">
        <v>66</v>
      </c>
      <c r="E218" s="124" t="s">
        <v>0</v>
      </c>
      <c r="F218" s="5">
        <v>12</v>
      </c>
      <c r="G218" s="6">
        <v>0.4</v>
      </c>
      <c r="H218" s="6"/>
      <c r="I218" s="7">
        <v>2.15</v>
      </c>
      <c r="J218" s="125">
        <v>1</v>
      </c>
      <c r="K218" s="7"/>
      <c r="L218" s="7">
        <f t="shared" si="26"/>
        <v>10.32</v>
      </c>
      <c r="M218" s="111"/>
      <c r="N218" s="111"/>
      <c r="O218" s="111"/>
      <c r="P218" s="111"/>
    </row>
    <row r="219" spans="1:16" s="104" customFormat="1" x14ac:dyDescent="0.2">
      <c r="A219" s="98"/>
      <c r="B219" s="105"/>
      <c r="C219" s="114"/>
      <c r="D219" s="4" t="s">
        <v>67</v>
      </c>
      <c r="E219" s="124" t="s">
        <v>0</v>
      </c>
      <c r="F219" s="5">
        <v>11</v>
      </c>
      <c r="G219" s="6">
        <v>0.4</v>
      </c>
      <c r="H219" s="6"/>
      <c r="I219" s="7">
        <v>2.15</v>
      </c>
      <c r="J219" s="125">
        <v>1</v>
      </c>
      <c r="K219" s="7"/>
      <c r="L219" s="7">
        <f t="shared" si="26"/>
        <v>9.4600000000000009</v>
      </c>
      <c r="M219" s="111"/>
      <c r="N219" s="111"/>
      <c r="O219" s="111"/>
      <c r="P219" s="111"/>
    </row>
    <row r="220" spans="1:16" s="104" customFormat="1" x14ac:dyDescent="0.2">
      <c r="A220" s="98"/>
      <c r="B220" s="105"/>
      <c r="C220" s="114"/>
      <c r="D220" s="115" t="s">
        <v>71</v>
      </c>
      <c r="E220" s="116"/>
      <c r="F220" s="109"/>
      <c r="G220" s="110"/>
      <c r="H220" s="110"/>
      <c r="I220" s="111"/>
      <c r="J220" s="112"/>
      <c r="K220" s="111"/>
      <c r="L220" s="111"/>
      <c r="M220" s="111"/>
      <c r="N220" s="111"/>
      <c r="O220" s="111"/>
      <c r="P220" s="111"/>
    </row>
    <row r="221" spans="1:16" s="104" customFormat="1" x14ac:dyDescent="0.2">
      <c r="A221" s="98"/>
      <c r="B221" s="105"/>
      <c r="C221" s="114"/>
      <c r="D221" s="4" t="s">
        <v>61</v>
      </c>
      <c r="E221" s="124" t="s">
        <v>0</v>
      </c>
      <c r="F221" s="5">
        <v>1</v>
      </c>
      <c r="G221" s="6">
        <v>0.3</v>
      </c>
      <c r="H221" s="6"/>
      <c r="I221" s="7">
        <v>1.1499999999999999</v>
      </c>
      <c r="J221" s="125">
        <v>1</v>
      </c>
      <c r="K221" s="7"/>
      <c r="L221" s="7">
        <f t="shared" ref="L221:L248" si="27">F221*G221*I221*J221</f>
        <v>0.34499999999999997</v>
      </c>
      <c r="M221" s="111"/>
      <c r="N221" s="111"/>
      <c r="O221" s="111"/>
      <c r="P221" s="111"/>
    </row>
    <row r="222" spans="1:16" s="104" customFormat="1" x14ac:dyDescent="0.2">
      <c r="A222" s="98"/>
      <c r="B222" s="105"/>
      <c r="C222" s="114"/>
      <c r="D222" s="4" t="s">
        <v>62</v>
      </c>
      <c r="E222" s="124" t="s">
        <v>0</v>
      </c>
      <c r="F222" s="5">
        <v>1</v>
      </c>
      <c r="G222" s="6">
        <v>0.6</v>
      </c>
      <c r="H222" s="6"/>
      <c r="I222" s="7">
        <v>1.1499999999999999</v>
      </c>
      <c r="J222" s="125">
        <v>1</v>
      </c>
      <c r="K222" s="7"/>
      <c r="L222" s="7">
        <f t="shared" si="27"/>
        <v>0.69</v>
      </c>
      <c r="M222" s="111"/>
      <c r="N222" s="111"/>
      <c r="O222" s="111"/>
      <c r="P222" s="111"/>
    </row>
    <row r="223" spans="1:16" s="104" customFormat="1" x14ac:dyDescent="0.2">
      <c r="A223" s="98"/>
      <c r="B223" s="105"/>
      <c r="C223" s="114"/>
      <c r="D223" s="4" t="s">
        <v>63</v>
      </c>
      <c r="E223" s="124" t="s">
        <v>0</v>
      </c>
      <c r="F223" s="5">
        <v>1</v>
      </c>
      <c r="G223" s="6">
        <v>0.6</v>
      </c>
      <c r="H223" s="6"/>
      <c r="I223" s="7">
        <v>1.1499999999999999</v>
      </c>
      <c r="J223" s="125">
        <v>1</v>
      </c>
      <c r="K223" s="7"/>
      <c r="L223" s="7">
        <f t="shared" si="27"/>
        <v>0.69</v>
      </c>
      <c r="M223" s="111"/>
      <c r="N223" s="111"/>
      <c r="O223" s="111"/>
      <c r="P223" s="111"/>
    </row>
    <row r="224" spans="1:16" s="104" customFormat="1" x14ac:dyDescent="0.2">
      <c r="A224" s="98"/>
      <c r="B224" s="105"/>
      <c r="C224" s="114"/>
      <c r="D224" s="4" t="s">
        <v>64</v>
      </c>
      <c r="E224" s="124" t="s">
        <v>0</v>
      </c>
      <c r="F224" s="5">
        <v>1</v>
      </c>
      <c r="G224" s="6">
        <v>0.6</v>
      </c>
      <c r="H224" s="6"/>
      <c r="I224" s="7">
        <v>1.1499999999999999</v>
      </c>
      <c r="J224" s="125">
        <v>1</v>
      </c>
      <c r="K224" s="7"/>
      <c r="L224" s="7">
        <f t="shared" si="27"/>
        <v>0.69</v>
      </c>
      <c r="M224" s="111"/>
      <c r="N224" s="111"/>
      <c r="O224" s="111"/>
      <c r="P224" s="111"/>
    </row>
    <row r="225" spans="1:16" s="104" customFormat="1" x14ac:dyDescent="0.2">
      <c r="A225" s="98"/>
      <c r="B225" s="105"/>
      <c r="C225" s="114"/>
      <c r="D225" s="4" t="s">
        <v>65</v>
      </c>
      <c r="E225" s="124" t="s">
        <v>0</v>
      </c>
      <c r="F225" s="5">
        <v>1</v>
      </c>
      <c r="G225" s="6">
        <v>0.3</v>
      </c>
      <c r="H225" s="6"/>
      <c r="I225" s="7">
        <v>1.1499999999999999</v>
      </c>
      <c r="J225" s="125">
        <v>1</v>
      </c>
      <c r="K225" s="7"/>
      <c r="L225" s="7">
        <f t="shared" si="27"/>
        <v>0.34499999999999997</v>
      </c>
      <c r="M225" s="111"/>
      <c r="N225" s="111"/>
      <c r="O225" s="111"/>
      <c r="P225" s="111"/>
    </row>
    <row r="226" spans="1:16" s="104" customFormat="1" x14ac:dyDescent="0.2">
      <c r="A226" s="98"/>
      <c r="B226" s="105"/>
      <c r="C226" s="114"/>
      <c r="D226" s="4" t="s">
        <v>72</v>
      </c>
      <c r="E226" s="124" t="s">
        <v>0</v>
      </c>
      <c r="F226" s="5">
        <v>1</v>
      </c>
      <c r="G226" s="6">
        <v>0.4</v>
      </c>
      <c r="H226" s="6"/>
      <c r="I226" s="7">
        <v>1.33</v>
      </c>
      <c r="J226" s="125">
        <v>1</v>
      </c>
      <c r="K226" s="7"/>
      <c r="L226" s="7">
        <f t="shared" si="27"/>
        <v>0.53200000000000003</v>
      </c>
      <c r="M226" s="111"/>
      <c r="N226" s="111"/>
      <c r="O226" s="111"/>
      <c r="P226" s="111"/>
    </row>
    <row r="227" spans="1:16" s="104" customFormat="1" x14ac:dyDescent="0.2">
      <c r="A227" s="98"/>
      <c r="B227" s="105"/>
      <c r="C227" s="114"/>
      <c r="D227" s="4" t="s">
        <v>73</v>
      </c>
      <c r="E227" s="124" t="s">
        <v>0</v>
      </c>
      <c r="F227" s="5">
        <v>1</v>
      </c>
      <c r="G227" s="6">
        <v>0.4</v>
      </c>
      <c r="H227" s="6"/>
      <c r="I227" s="7">
        <v>1.42</v>
      </c>
      <c r="J227" s="125">
        <v>1</v>
      </c>
      <c r="K227" s="7"/>
      <c r="L227" s="7">
        <f t="shared" si="27"/>
        <v>0.56799999999999995</v>
      </c>
      <c r="M227" s="111"/>
      <c r="N227" s="111"/>
      <c r="O227" s="111"/>
      <c r="P227" s="111"/>
    </row>
    <row r="228" spans="1:16" s="104" customFormat="1" x14ac:dyDescent="0.2">
      <c r="A228" s="98"/>
      <c r="B228" s="105"/>
      <c r="C228" s="114"/>
      <c r="D228" s="4" t="s">
        <v>74</v>
      </c>
      <c r="E228" s="124" t="s">
        <v>0</v>
      </c>
      <c r="F228" s="5">
        <v>1</v>
      </c>
      <c r="G228" s="6">
        <v>0.4</v>
      </c>
      <c r="H228" s="6"/>
      <c r="I228" s="7">
        <v>1.51</v>
      </c>
      <c r="J228" s="125">
        <v>1</v>
      </c>
      <c r="K228" s="7"/>
      <c r="L228" s="7">
        <f t="shared" si="27"/>
        <v>0.60400000000000009</v>
      </c>
      <c r="M228" s="111"/>
      <c r="N228" s="111"/>
      <c r="O228" s="111"/>
      <c r="P228" s="111"/>
    </row>
    <row r="229" spans="1:16" s="104" customFormat="1" x14ac:dyDescent="0.2">
      <c r="A229" s="98"/>
      <c r="B229" s="105"/>
      <c r="C229" s="114"/>
      <c r="D229" s="4" t="s">
        <v>75</v>
      </c>
      <c r="E229" s="124" t="s">
        <v>0</v>
      </c>
      <c r="F229" s="5">
        <v>1</v>
      </c>
      <c r="G229" s="6">
        <v>0.4</v>
      </c>
      <c r="H229" s="6"/>
      <c r="I229" s="7">
        <v>1.59</v>
      </c>
      <c r="J229" s="125">
        <v>1</v>
      </c>
      <c r="K229" s="7"/>
      <c r="L229" s="7">
        <f t="shared" si="27"/>
        <v>0.63600000000000012</v>
      </c>
      <c r="M229" s="111"/>
      <c r="N229" s="111"/>
      <c r="O229" s="111"/>
      <c r="P229" s="111"/>
    </row>
    <row r="230" spans="1:16" s="104" customFormat="1" x14ac:dyDescent="0.2">
      <c r="A230" s="98"/>
      <c r="B230" s="105"/>
      <c r="C230" s="114"/>
      <c r="D230" s="4" t="s">
        <v>76</v>
      </c>
      <c r="E230" s="124" t="s">
        <v>0</v>
      </c>
      <c r="F230" s="5">
        <v>1</v>
      </c>
      <c r="G230" s="6">
        <v>0.4</v>
      </c>
      <c r="H230" s="6"/>
      <c r="I230" s="7">
        <v>1.68</v>
      </c>
      <c r="J230" s="125">
        <v>1</v>
      </c>
      <c r="K230" s="7"/>
      <c r="L230" s="7">
        <f t="shared" si="27"/>
        <v>0.67200000000000004</v>
      </c>
      <c r="M230" s="111"/>
      <c r="N230" s="111"/>
      <c r="O230" s="111"/>
      <c r="P230" s="111"/>
    </row>
    <row r="231" spans="1:16" s="104" customFormat="1" x14ac:dyDescent="0.2">
      <c r="A231" s="98"/>
      <c r="B231" s="105"/>
      <c r="C231" s="114"/>
      <c r="D231" s="4" t="s">
        <v>77</v>
      </c>
      <c r="E231" s="124" t="s">
        <v>0</v>
      </c>
      <c r="F231" s="5">
        <v>1</v>
      </c>
      <c r="G231" s="6">
        <v>0.4</v>
      </c>
      <c r="H231" s="6"/>
      <c r="I231" s="7">
        <v>1.77</v>
      </c>
      <c r="J231" s="125">
        <v>1</v>
      </c>
      <c r="K231" s="7"/>
      <c r="L231" s="7">
        <f t="shared" si="27"/>
        <v>0.70800000000000007</v>
      </c>
      <c r="M231" s="111"/>
      <c r="N231" s="111"/>
      <c r="O231" s="111"/>
      <c r="P231" s="111"/>
    </row>
    <row r="232" spans="1:16" s="104" customFormat="1" x14ac:dyDescent="0.2">
      <c r="A232" s="98"/>
      <c r="B232" s="105"/>
      <c r="C232" s="114"/>
      <c r="D232" s="4" t="s">
        <v>78</v>
      </c>
      <c r="E232" s="124" t="s">
        <v>0</v>
      </c>
      <c r="F232" s="5">
        <v>1</v>
      </c>
      <c r="G232" s="6">
        <v>0.4</v>
      </c>
      <c r="H232" s="6"/>
      <c r="I232" s="7">
        <v>1.84</v>
      </c>
      <c r="J232" s="125">
        <v>1</v>
      </c>
      <c r="K232" s="7"/>
      <c r="L232" s="7">
        <f t="shared" si="27"/>
        <v>0.7360000000000001</v>
      </c>
      <c r="M232" s="111"/>
      <c r="N232" s="111"/>
      <c r="O232" s="111"/>
      <c r="P232" s="111"/>
    </row>
    <row r="233" spans="1:16" s="104" customFormat="1" x14ac:dyDescent="0.2">
      <c r="A233" s="98"/>
      <c r="B233" s="105"/>
      <c r="C233" s="114"/>
      <c r="D233" s="4" t="s">
        <v>79</v>
      </c>
      <c r="E233" s="124" t="s">
        <v>0</v>
      </c>
      <c r="F233" s="5">
        <v>1</v>
      </c>
      <c r="G233" s="6">
        <v>0.4</v>
      </c>
      <c r="H233" s="6"/>
      <c r="I233" s="7">
        <v>1.9</v>
      </c>
      <c r="J233" s="125">
        <v>1</v>
      </c>
      <c r="K233" s="7"/>
      <c r="L233" s="7">
        <f t="shared" si="27"/>
        <v>0.76</v>
      </c>
      <c r="M233" s="111"/>
      <c r="N233" s="111"/>
      <c r="O233" s="111"/>
      <c r="P233" s="111"/>
    </row>
    <row r="234" spans="1:16" s="104" customFormat="1" x14ac:dyDescent="0.2">
      <c r="A234" s="98"/>
      <c r="B234" s="105"/>
      <c r="C234" s="114"/>
      <c r="D234" s="4" t="s">
        <v>80</v>
      </c>
      <c r="E234" s="124" t="s">
        <v>0</v>
      </c>
      <c r="F234" s="5">
        <v>1</v>
      </c>
      <c r="G234" s="6">
        <v>0.4</v>
      </c>
      <c r="H234" s="6"/>
      <c r="I234" s="7">
        <v>1.96</v>
      </c>
      <c r="J234" s="125">
        <v>1</v>
      </c>
      <c r="K234" s="7"/>
      <c r="L234" s="7">
        <f t="shared" si="27"/>
        <v>0.78400000000000003</v>
      </c>
      <c r="M234" s="111"/>
      <c r="N234" s="111"/>
      <c r="O234" s="111"/>
      <c r="P234" s="111"/>
    </row>
    <row r="235" spans="1:16" s="104" customFormat="1" x14ac:dyDescent="0.2">
      <c r="A235" s="98"/>
      <c r="B235" s="105"/>
      <c r="C235" s="114"/>
      <c r="D235" s="4" t="s">
        <v>81</v>
      </c>
      <c r="E235" s="124" t="s">
        <v>0</v>
      </c>
      <c r="F235" s="5">
        <v>1</v>
      </c>
      <c r="G235" s="6">
        <v>0.4</v>
      </c>
      <c r="H235" s="6"/>
      <c r="I235" s="7">
        <v>2</v>
      </c>
      <c r="J235" s="125">
        <v>1</v>
      </c>
      <c r="K235" s="7"/>
      <c r="L235" s="7">
        <f t="shared" si="27"/>
        <v>0.8</v>
      </c>
      <c r="M235" s="111"/>
      <c r="N235" s="111"/>
      <c r="O235" s="111"/>
      <c r="P235" s="111"/>
    </row>
    <row r="236" spans="1:16" s="104" customFormat="1" x14ac:dyDescent="0.2">
      <c r="A236" s="98"/>
      <c r="B236" s="105"/>
      <c r="C236" s="114"/>
      <c r="D236" s="4" t="s">
        <v>82</v>
      </c>
      <c r="E236" s="124" t="s">
        <v>0</v>
      </c>
      <c r="F236" s="5">
        <v>1</v>
      </c>
      <c r="G236" s="6">
        <v>0.4</v>
      </c>
      <c r="H236" s="6"/>
      <c r="I236" s="7">
        <v>2</v>
      </c>
      <c r="J236" s="125">
        <v>1</v>
      </c>
      <c r="K236" s="7"/>
      <c r="L236" s="7">
        <f t="shared" si="27"/>
        <v>0.8</v>
      </c>
      <c r="M236" s="111"/>
      <c r="N236" s="111"/>
      <c r="O236" s="111"/>
      <c r="P236" s="111"/>
    </row>
    <row r="237" spans="1:16" s="104" customFormat="1" x14ac:dyDescent="0.2">
      <c r="A237" s="98"/>
      <c r="B237" s="105"/>
      <c r="C237" s="114"/>
      <c r="D237" s="4" t="s">
        <v>83</v>
      </c>
      <c r="E237" s="124" t="s">
        <v>0</v>
      </c>
      <c r="F237" s="5">
        <v>1</v>
      </c>
      <c r="G237" s="6">
        <v>0.4</v>
      </c>
      <c r="H237" s="6"/>
      <c r="I237" s="7">
        <v>2</v>
      </c>
      <c r="J237" s="125">
        <v>1</v>
      </c>
      <c r="K237" s="7"/>
      <c r="L237" s="7">
        <f t="shared" si="27"/>
        <v>0.8</v>
      </c>
      <c r="M237" s="111"/>
      <c r="N237" s="111"/>
      <c r="O237" s="111"/>
      <c r="P237" s="111"/>
    </row>
    <row r="238" spans="1:16" s="104" customFormat="1" x14ac:dyDescent="0.2">
      <c r="A238" s="98"/>
      <c r="B238" s="105"/>
      <c r="C238" s="114"/>
      <c r="D238" s="4" t="s">
        <v>111</v>
      </c>
      <c r="E238" s="124" t="s">
        <v>0</v>
      </c>
      <c r="F238" s="5">
        <v>1</v>
      </c>
      <c r="G238" s="6">
        <v>0.4</v>
      </c>
      <c r="H238" s="6"/>
      <c r="I238" s="7">
        <v>1.33</v>
      </c>
      <c r="J238" s="125">
        <v>1</v>
      </c>
      <c r="K238" s="7"/>
      <c r="L238" s="7">
        <f t="shared" si="27"/>
        <v>0.53200000000000003</v>
      </c>
      <c r="M238" s="111"/>
      <c r="N238" s="111"/>
      <c r="O238" s="111"/>
      <c r="P238" s="111"/>
    </row>
    <row r="239" spans="1:16" s="104" customFormat="1" x14ac:dyDescent="0.2">
      <c r="A239" s="98"/>
      <c r="B239" s="105"/>
      <c r="C239" s="114"/>
      <c r="D239" s="4" t="s">
        <v>112</v>
      </c>
      <c r="E239" s="124" t="s">
        <v>0</v>
      </c>
      <c r="F239" s="5">
        <v>1</v>
      </c>
      <c r="G239" s="6">
        <v>0.4</v>
      </c>
      <c r="H239" s="6"/>
      <c r="I239" s="7">
        <v>1.42</v>
      </c>
      <c r="J239" s="125">
        <v>1</v>
      </c>
      <c r="K239" s="7"/>
      <c r="L239" s="7">
        <f t="shared" si="27"/>
        <v>0.56799999999999995</v>
      </c>
      <c r="M239" s="111"/>
      <c r="N239" s="111"/>
      <c r="O239" s="111"/>
      <c r="P239" s="111"/>
    </row>
    <row r="240" spans="1:16" s="104" customFormat="1" x14ac:dyDescent="0.2">
      <c r="A240" s="98"/>
      <c r="B240" s="105"/>
      <c r="C240" s="114"/>
      <c r="D240" s="4" t="s">
        <v>113</v>
      </c>
      <c r="E240" s="124" t="s">
        <v>0</v>
      </c>
      <c r="F240" s="5">
        <v>1</v>
      </c>
      <c r="G240" s="6">
        <v>0.4</v>
      </c>
      <c r="H240" s="6"/>
      <c r="I240" s="7">
        <v>1.51</v>
      </c>
      <c r="J240" s="125">
        <v>1</v>
      </c>
      <c r="K240" s="7"/>
      <c r="L240" s="7">
        <f t="shared" si="27"/>
        <v>0.60400000000000009</v>
      </c>
      <c r="M240" s="111"/>
      <c r="N240" s="111"/>
      <c r="O240" s="111"/>
      <c r="P240" s="111"/>
    </row>
    <row r="241" spans="1:16" s="104" customFormat="1" x14ac:dyDescent="0.2">
      <c r="A241" s="98"/>
      <c r="B241" s="105"/>
      <c r="C241" s="114"/>
      <c r="D241" s="4" t="s">
        <v>114</v>
      </c>
      <c r="E241" s="124" t="s">
        <v>0</v>
      </c>
      <c r="F241" s="5">
        <v>1</v>
      </c>
      <c r="G241" s="6">
        <v>0.4</v>
      </c>
      <c r="H241" s="6"/>
      <c r="I241" s="7">
        <v>1.59</v>
      </c>
      <c r="J241" s="125">
        <v>1</v>
      </c>
      <c r="K241" s="7"/>
      <c r="L241" s="7">
        <f t="shared" si="27"/>
        <v>0.63600000000000012</v>
      </c>
      <c r="M241" s="111"/>
      <c r="N241" s="111"/>
      <c r="O241" s="111"/>
      <c r="P241" s="111"/>
    </row>
    <row r="242" spans="1:16" s="104" customFormat="1" x14ac:dyDescent="0.2">
      <c r="A242" s="98"/>
      <c r="B242" s="105"/>
      <c r="C242" s="114"/>
      <c r="D242" s="4" t="s">
        <v>115</v>
      </c>
      <c r="E242" s="124" t="s">
        <v>0</v>
      </c>
      <c r="F242" s="5">
        <v>1</v>
      </c>
      <c r="G242" s="6">
        <v>0.4</v>
      </c>
      <c r="H242" s="6"/>
      <c r="I242" s="7">
        <v>1.68</v>
      </c>
      <c r="J242" s="125">
        <v>1</v>
      </c>
      <c r="K242" s="7"/>
      <c r="L242" s="7">
        <f t="shared" si="27"/>
        <v>0.67200000000000004</v>
      </c>
      <c r="M242" s="111"/>
      <c r="N242" s="111"/>
      <c r="O242" s="111"/>
      <c r="P242" s="111"/>
    </row>
    <row r="243" spans="1:16" s="104" customFormat="1" x14ac:dyDescent="0.2">
      <c r="A243" s="98"/>
      <c r="B243" s="105"/>
      <c r="C243" s="114"/>
      <c r="D243" s="4" t="s">
        <v>116</v>
      </c>
      <c r="E243" s="124" t="s">
        <v>0</v>
      </c>
      <c r="F243" s="5">
        <v>1</v>
      </c>
      <c r="G243" s="6">
        <v>0.4</v>
      </c>
      <c r="H243" s="6"/>
      <c r="I243" s="7">
        <v>1.77</v>
      </c>
      <c r="J243" s="125">
        <v>1</v>
      </c>
      <c r="K243" s="7"/>
      <c r="L243" s="7">
        <f t="shared" si="27"/>
        <v>0.70800000000000007</v>
      </c>
      <c r="M243" s="111"/>
      <c r="N243" s="111"/>
      <c r="O243" s="111"/>
      <c r="P243" s="111"/>
    </row>
    <row r="244" spans="1:16" s="104" customFormat="1" x14ac:dyDescent="0.2">
      <c r="A244" s="98"/>
      <c r="B244" s="105"/>
      <c r="C244" s="114"/>
      <c r="D244" s="4" t="s">
        <v>117</v>
      </c>
      <c r="E244" s="124" t="s">
        <v>0</v>
      </c>
      <c r="F244" s="5">
        <v>1</v>
      </c>
      <c r="G244" s="6">
        <v>0.4</v>
      </c>
      <c r="H244" s="6"/>
      <c r="I244" s="7">
        <v>1.84</v>
      </c>
      <c r="J244" s="125">
        <v>1</v>
      </c>
      <c r="K244" s="7"/>
      <c r="L244" s="7">
        <f t="shared" si="27"/>
        <v>0.7360000000000001</v>
      </c>
      <c r="M244" s="111"/>
      <c r="N244" s="111"/>
      <c r="O244" s="111"/>
      <c r="P244" s="111"/>
    </row>
    <row r="245" spans="1:16" s="104" customFormat="1" x14ac:dyDescent="0.2">
      <c r="A245" s="98"/>
      <c r="B245" s="105"/>
      <c r="C245" s="114"/>
      <c r="D245" s="4" t="s">
        <v>118</v>
      </c>
      <c r="E245" s="124" t="s">
        <v>0</v>
      </c>
      <c r="F245" s="5">
        <v>1</v>
      </c>
      <c r="G245" s="6">
        <v>0.4</v>
      </c>
      <c r="H245" s="6"/>
      <c r="I245" s="7">
        <v>1.9</v>
      </c>
      <c r="J245" s="125">
        <v>1</v>
      </c>
      <c r="K245" s="7"/>
      <c r="L245" s="7">
        <f t="shared" si="27"/>
        <v>0.76</v>
      </c>
      <c r="M245" s="111"/>
      <c r="N245" s="111"/>
      <c r="O245" s="111"/>
      <c r="P245" s="111"/>
    </row>
    <row r="246" spans="1:16" s="104" customFormat="1" x14ac:dyDescent="0.2">
      <c r="A246" s="98"/>
      <c r="B246" s="105"/>
      <c r="C246" s="114"/>
      <c r="D246" s="4" t="s">
        <v>119</v>
      </c>
      <c r="E246" s="124" t="s">
        <v>0</v>
      </c>
      <c r="F246" s="5">
        <v>1</v>
      </c>
      <c r="G246" s="6">
        <v>0.4</v>
      </c>
      <c r="H246" s="6"/>
      <c r="I246" s="7">
        <v>1.96</v>
      </c>
      <c r="J246" s="125">
        <v>1</v>
      </c>
      <c r="K246" s="7"/>
      <c r="L246" s="7">
        <f t="shared" si="27"/>
        <v>0.78400000000000003</v>
      </c>
      <c r="M246" s="111"/>
      <c r="N246" s="111"/>
      <c r="O246" s="111"/>
      <c r="P246" s="111"/>
    </row>
    <row r="247" spans="1:16" s="104" customFormat="1" x14ac:dyDescent="0.2">
      <c r="A247" s="98"/>
      <c r="B247" s="105"/>
      <c r="C247" s="114"/>
      <c r="D247" s="4" t="s">
        <v>120</v>
      </c>
      <c r="E247" s="124" t="s">
        <v>0</v>
      </c>
      <c r="F247" s="5">
        <v>1</v>
      </c>
      <c r="G247" s="6">
        <v>0.4</v>
      </c>
      <c r="H247" s="6"/>
      <c r="I247" s="7">
        <v>2</v>
      </c>
      <c r="J247" s="125">
        <v>1</v>
      </c>
      <c r="K247" s="7"/>
      <c r="L247" s="7">
        <f t="shared" si="27"/>
        <v>0.8</v>
      </c>
      <c r="M247" s="111"/>
      <c r="N247" s="111"/>
      <c r="O247" s="111"/>
      <c r="P247" s="111"/>
    </row>
    <row r="248" spans="1:16" s="104" customFormat="1" x14ac:dyDescent="0.2">
      <c r="A248" s="98"/>
      <c r="B248" s="105"/>
      <c r="C248" s="114"/>
      <c r="D248" s="4" t="s">
        <v>121</v>
      </c>
      <c r="E248" s="124" t="s">
        <v>0</v>
      </c>
      <c r="F248" s="5">
        <v>1</v>
      </c>
      <c r="G248" s="6">
        <v>0.4</v>
      </c>
      <c r="H248" s="6"/>
      <c r="I248" s="7">
        <v>2</v>
      </c>
      <c r="J248" s="125">
        <v>1</v>
      </c>
      <c r="K248" s="7"/>
      <c r="L248" s="7">
        <f t="shared" si="27"/>
        <v>0.8</v>
      </c>
      <c r="M248" s="111"/>
      <c r="N248" s="111"/>
      <c r="O248" s="111"/>
      <c r="P248" s="111"/>
    </row>
    <row r="249" spans="1:16" s="104" customFormat="1" x14ac:dyDescent="0.2">
      <c r="A249" s="98"/>
      <c r="B249" s="105"/>
      <c r="C249" s="114"/>
      <c r="D249" s="117"/>
      <c r="E249" s="116"/>
      <c r="F249" s="109"/>
      <c r="G249" s="110"/>
      <c r="H249" s="110"/>
      <c r="I249" s="110"/>
      <c r="J249" s="112"/>
      <c r="K249" s="111"/>
      <c r="L249" s="111"/>
      <c r="M249" s="111"/>
      <c r="N249" s="111"/>
      <c r="O249" s="111"/>
      <c r="P249" s="111"/>
    </row>
    <row r="250" spans="1:16" s="104" customFormat="1" x14ac:dyDescent="0.2">
      <c r="A250" s="98"/>
      <c r="B250" s="105"/>
      <c r="C250" s="114"/>
      <c r="D250" s="123" t="s">
        <v>84</v>
      </c>
      <c r="E250" s="116"/>
      <c r="F250" s="109"/>
      <c r="G250" s="110"/>
      <c r="H250" s="110"/>
      <c r="I250" s="110"/>
      <c r="J250" s="112"/>
      <c r="K250" s="111"/>
      <c r="L250" s="111"/>
      <c r="M250" s="111"/>
      <c r="N250" s="111"/>
      <c r="O250" s="111"/>
      <c r="P250" s="111"/>
    </row>
    <row r="251" spans="1:16" s="104" customFormat="1" x14ac:dyDescent="0.2">
      <c r="A251" s="98"/>
      <c r="B251" s="105"/>
      <c r="C251" s="114"/>
      <c r="D251" s="115" t="s">
        <v>60</v>
      </c>
      <c r="E251" s="116"/>
      <c r="F251" s="109"/>
      <c r="G251" s="110"/>
      <c r="H251" s="110"/>
      <c r="I251" s="111"/>
      <c r="J251" s="112"/>
      <c r="K251" s="111"/>
      <c r="L251" s="111"/>
      <c r="M251" s="111"/>
      <c r="N251" s="111"/>
      <c r="O251" s="111"/>
      <c r="P251" s="111"/>
    </row>
    <row r="252" spans="1:16" s="104" customFormat="1" x14ac:dyDescent="0.2">
      <c r="A252" s="98"/>
      <c r="B252" s="105"/>
      <c r="C252" s="114"/>
      <c r="D252" s="4" t="s">
        <v>61</v>
      </c>
      <c r="E252" s="124" t="s">
        <v>0</v>
      </c>
      <c r="F252" s="5">
        <v>1</v>
      </c>
      <c r="G252" s="6">
        <v>1.65</v>
      </c>
      <c r="H252" s="6"/>
      <c r="I252" s="7">
        <f>0.9-0.25</f>
        <v>0.65</v>
      </c>
      <c r="J252" s="125">
        <v>1</v>
      </c>
      <c r="K252" s="7"/>
      <c r="L252" s="7">
        <f t="shared" ref="L252:L257" si="28">F252*G252*I252*J252</f>
        <v>1.0725</v>
      </c>
      <c r="M252" s="111"/>
      <c r="N252" s="111"/>
      <c r="O252" s="111"/>
      <c r="P252" s="111"/>
    </row>
    <row r="253" spans="1:16" s="104" customFormat="1" x14ac:dyDescent="0.2">
      <c r="A253" s="98"/>
      <c r="B253" s="105"/>
      <c r="C253" s="114"/>
      <c r="D253" s="4" t="s">
        <v>62</v>
      </c>
      <c r="E253" s="124" t="s">
        <v>0</v>
      </c>
      <c r="F253" s="5">
        <v>1</v>
      </c>
      <c r="G253" s="6">
        <v>1.5</v>
      </c>
      <c r="H253" s="6"/>
      <c r="I253" s="7">
        <f>0.9-0.25-0.21</f>
        <v>0.44000000000000006</v>
      </c>
      <c r="J253" s="125">
        <v>1</v>
      </c>
      <c r="K253" s="7"/>
      <c r="L253" s="7">
        <f t="shared" si="28"/>
        <v>0.66000000000000014</v>
      </c>
      <c r="M253" s="111"/>
      <c r="N253" s="111"/>
      <c r="O253" s="111"/>
      <c r="P253" s="111"/>
    </row>
    <row r="254" spans="1:16" s="104" customFormat="1" x14ac:dyDescent="0.2">
      <c r="A254" s="98"/>
      <c r="B254" s="105"/>
      <c r="C254" s="114"/>
      <c r="D254" s="4" t="s">
        <v>63</v>
      </c>
      <c r="E254" s="124" t="s">
        <v>0</v>
      </c>
      <c r="F254" s="5">
        <v>1</v>
      </c>
      <c r="G254" s="6">
        <v>1.5</v>
      </c>
      <c r="H254" s="6"/>
      <c r="I254" s="7">
        <f>0.9-0.25-0.21*2</f>
        <v>0.23000000000000004</v>
      </c>
      <c r="J254" s="125">
        <v>1</v>
      </c>
      <c r="K254" s="7"/>
      <c r="L254" s="7">
        <f t="shared" si="28"/>
        <v>0.34500000000000008</v>
      </c>
      <c r="M254" s="111"/>
      <c r="N254" s="111"/>
      <c r="O254" s="111"/>
      <c r="P254" s="111"/>
    </row>
    <row r="255" spans="1:16" s="104" customFormat="1" x14ac:dyDescent="0.2">
      <c r="A255" s="98"/>
      <c r="B255" s="105"/>
      <c r="C255" s="114"/>
      <c r="D255" s="4" t="s">
        <v>64</v>
      </c>
      <c r="E255" s="124" t="s">
        <v>0</v>
      </c>
      <c r="F255" s="5">
        <v>1</v>
      </c>
      <c r="G255" s="6">
        <v>1.65</v>
      </c>
      <c r="H255" s="6"/>
      <c r="I255" s="7">
        <f>0.9-0.25-0.21*3</f>
        <v>2.0000000000000018E-2</v>
      </c>
      <c r="J255" s="125">
        <v>1</v>
      </c>
      <c r="K255" s="7"/>
      <c r="L255" s="7">
        <f t="shared" si="28"/>
        <v>3.3000000000000029E-2</v>
      </c>
      <c r="M255" s="111"/>
      <c r="N255" s="111"/>
      <c r="O255" s="111"/>
      <c r="P255" s="111"/>
    </row>
    <row r="256" spans="1:16" s="104" customFormat="1" x14ac:dyDescent="0.2">
      <c r="A256" s="98"/>
      <c r="B256" s="105"/>
      <c r="C256" s="114"/>
      <c r="D256" s="4" t="s">
        <v>66</v>
      </c>
      <c r="E256" s="124" t="s">
        <v>0</v>
      </c>
      <c r="F256" s="5">
        <v>12</v>
      </c>
      <c r="G256" s="6">
        <v>0.4</v>
      </c>
      <c r="H256" s="6"/>
      <c r="I256" s="7">
        <f>3.7/2</f>
        <v>1.85</v>
      </c>
      <c r="J256" s="125">
        <v>1</v>
      </c>
      <c r="K256" s="7"/>
      <c r="L256" s="7">
        <f t="shared" si="28"/>
        <v>8.8800000000000026</v>
      </c>
      <c r="M256" s="111"/>
      <c r="N256" s="111"/>
      <c r="O256" s="111"/>
      <c r="P256" s="111"/>
    </row>
    <row r="257" spans="1:16" s="104" customFormat="1" x14ac:dyDescent="0.2">
      <c r="A257" s="98"/>
      <c r="B257" s="105"/>
      <c r="C257" s="114"/>
      <c r="D257" s="4" t="s">
        <v>67</v>
      </c>
      <c r="E257" s="124" t="s">
        <v>0</v>
      </c>
      <c r="F257" s="5">
        <v>11</v>
      </c>
      <c r="G257" s="6">
        <v>0.4</v>
      </c>
      <c r="H257" s="6"/>
      <c r="I257" s="7">
        <f>3.7/2</f>
        <v>1.85</v>
      </c>
      <c r="J257" s="125">
        <v>1</v>
      </c>
      <c r="K257" s="7"/>
      <c r="L257" s="7">
        <f t="shared" si="28"/>
        <v>8.14</v>
      </c>
      <c r="M257" s="111"/>
      <c r="N257" s="111"/>
      <c r="O257" s="111"/>
      <c r="P257" s="111"/>
    </row>
    <row r="258" spans="1:16" s="104" customFormat="1" x14ac:dyDescent="0.2">
      <c r="A258" s="98"/>
      <c r="B258" s="105"/>
      <c r="C258" s="114"/>
      <c r="D258" s="115" t="s">
        <v>68</v>
      </c>
      <c r="E258" s="116"/>
      <c r="F258" s="109"/>
      <c r="G258" s="110"/>
      <c r="H258" s="110"/>
      <c r="I258" s="111"/>
      <c r="J258" s="112"/>
      <c r="K258" s="111"/>
      <c r="L258" s="111"/>
      <c r="M258" s="111"/>
      <c r="N258" s="111"/>
      <c r="O258" s="111"/>
      <c r="P258" s="111"/>
    </row>
    <row r="259" spans="1:16" s="104" customFormat="1" x14ac:dyDescent="0.2">
      <c r="A259" s="98"/>
      <c r="B259" s="105"/>
      <c r="C259" s="114"/>
      <c r="D259" s="4" t="s">
        <v>61</v>
      </c>
      <c r="E259" s="124" t="s">
        <v>0</v>
      </c>
      <c r="F259" s="5">
        <v>1</v>
      </c>
      <c r="G259" s="6">
        <v>0.3</v>
      </c>
      <c r="H259" s="6"/>
      <c r="I259" s="7">
        <v>1.6</v>
      </c>
      <c r="J259" s="125">
        <v>1</v>
      </c>
      <c r="K259" s="7"/>
      <c r="L259" s="7">
        <f t="shared" ref="L259:L263" si="29">F259*G259*I259*J259</f>
        <v>0.48</v>
      </c>
      <c r="M259" s="111"/>
      <c r="N259" s="111"/>
      <c r="O259" s="111"/>
      <c r="P259" s="111"/>
    </row>
    <row r="260" spans="1:16" s="104" customFormat="1" x14ac:dyDescent="0.2">
      <c r="A260" s="98"/>
      <c r="B260" s="105"/>
      <c r="C260" s="114"/>
      <c r="D260" s="4" t="s">
        <v>62</v>
      </c>
      <c r="E260" s="124" t="s">
        <v>0</v>
      </c>
      <c r="F260" s="5">
        <v>1</v>
      </c>
      <c r="G260" s="6">
        <v>0.6</v>
      </c>
      <c r="H260" s="6"/>
      <c r="I260" s="7">
        <v>1.6</v>
      </c>
      <c r="J260" s="125">
        <v>1</v>
      </c>
      <c r="K260" s="7"/>
      <c r="L260" s="7">
        <f t="shared" si="29"/>
        <v>0.96</v>
      </c>
      <c r="M260" s="111"/>
      <c r="N260" s="111"/>
      <c r="O260" s="111"/>
      <c r="P260" s="111"/>
    </row>
    <row r="261" spans="1:16" s="104" customFormat="1" x14ac:dyDescent="0.2">
      <c r="A261" s="98"/>
      <c r="B261" s="105"/>
      <c r="C261" s="114"/>
      <c r="D261" s="4" t="s">
        <v>63</v>
      </c>
      <c r="E261" s="124" t="s">
        <v>0</v>
      </c>
      <c r="F261" s="5">
        <v>1</v>
      </c>
      <c r="G261" s="6">
        <v>0.6</v>
      </c>
      <c r="H261" s="6"/>
      <c r="I261" s="7">
        <v>1.6</v>
      </c>
      <c r="J261" s="125">
        <v>1</v>
      </c>
      <c r="K261" s="7"/>
      <c r="L261" s="7">
        <f t="shared" si="29"/>
        <v>0.96</v>
      </c>
      <c r="M261" s="111"/>
      <c r="N261" s="111"/>
      <c r="O261" s="111"/>
      <c r="P261" s="111"/>
    </row>
    <row r="262" spans="1:16" s="104" customFormat="1" x14ac:dyDescent="0.2">
      <c r="A262" s="98"/>
      <c r="B262" s="105"/>
      <c r="C262" s="114"/>
      <c r="D262" s="4" t="s">
        <v>64</v>
      </c>
      <c r="E262" s="124" t="s">
        <v>0</v>
      </c>
      <c r="F262" s="5">
        <v>1</v>
      </c>
      <c r="G262" s="6">
        <v>0.6</v>
      </c>
      <c r="H262" s="6"/>
      <c r="I262" s="7">
        <v>1.6</v>
      </c>
      <c r="J262" s="125">
        <v>1</v>
      </c>
      <c r="K262" s="7"/>
      <c r="L262" s="7">
        <f t="shared" si="29"/>
        <v>0.96</v>
      </c>
      <c r="M262" s="111"/>
      <c r="N262" s="111"/>
      <c r="O262" s="111"/>
      <c r="P262" s="111"/>
    </row>
    <row r="263" spans="1:16" s="104" customFormat="1" x14ac:dyDescent="0.2">
      <c r="A263" s="98"/>
      <c r="B263" s="105"/>
      <c r="C263" s="114"/>
      <c r="D263" s="4" t="s">
        <v>65</v>
      </c>
      <c r="E263" s="124" t="s">
        <v>0</v>
      </c>
      <c r="F263" s="5">
        <v>1</v>
      </c>
      <c r="G263" s="6">
        <v>0.3</v>
      </c>
      <c r="H263" s="6"/>
      <c r="I263" s="7">
        <v>1.6</v>
      </c>
      <c r="J263" s="125">
        <v>1</v>
      </c>
      <c r="K263" s="7"/>
      <c r="L263" s="7">
        <f t="shared" si="29"/>
        <v>0.48</v>
      </c>
      <c r="M263" s="111"/>
      <c r="N263" s="111"/>
      <c r="O263" s="111"/>
      <c r="P263" s="111"/>
    </row>
    <row r="264" spans="1:16" s="104" customFormat="1" x14ac:dyDescent="0.2">
      <c r="A264" s="98"/>
      <c r="B264" s="105"/>
      <c r="C264" s="114"/>
      <c r="D264" s="115" t="s">
        <v>44</v>
      </c>
      <c r="E264" s="116"/>
      <c r="F264" s="109"/>
      <c r="G264" s="110"/>
      <c r="H264" s="110"/>
      <c r="I264" s="111"/>
      <c r="J264" s="112"/>
      <c r="K264" s="111"/>
      <c r="L264" s="111"/>
      <c r="M264" s="111"/>
      <c r="N264" s="111"/>
      <c r="O264" s="111"/>
      <c r="P264" s="111"/>
    </row>
    <row r="265" spans="1:16" s="104" customFormat="1" x14ac:dyDescent="0.2">
      <c r="A265" s="98"/>
      <c r="B265" s="105"/>
      <c r="C265" s="114"/>
      <c r="D265" s="4" t="s">
        <v>61</v>
      </c>
      <c r="E265" s="124" t="s">
        <v>0</v>
      </c>
      <c r="F265" s="5">
        <v>1</v>
      </c>
      <c r="G265" s="6">
        <v>0.3</v>
      </c>
      <c r="H265" s="6"/>
      <c r="I265" s="7">
        <f>1.2-0.25</f>
        <v>0.95</v>
      </c>
      <c r="J265" s="125">
        <v>1</v>
      </c>
      <c r="K265" s="7"/>
      <c r="L265" s="7">
        <f t="shared" ref="L265:L271" si="30">F265*G265*I265*J265</f>
        <v>0.28499999999999998</v>
      </c>
      <c r="M265" s="111"/>
      <c r="N265" s="111"/>
      <c r="O265" s="111"/>
      <c r="P265" s="111"/>
    </row>
    <row r="266" spans="1:16" s="104" customFormat="1" x14ac:dyDescent="0.2">
      <c r="A266" s="98"/>
      <c r="B266" s="105"/>
      <c r="C266" s="114"/>
      <c r="D266" s="4" t="s">
        <v>62</v>
      </c>
      <c r="E266" s="124" t="s">
        <v>0</v>
      </c>
      <c r="F266" s="5">
        <v>1</v>
      </c>
      <c r="G266" s="6">
        <v>0.6</v>
      </c>
      <c r="H266" s="6"/>
      <c r="I266" s="7">
        <f t="shared" ref="I266:I269" si="31">1.2-0.25</f>
        <v>0.95</v>
      </c>
      <c r="J266" s="125">
        <v>1</v>
      </c>
      <c r="K266" s="7"/>
      <c r="L266" s="7">
        <f t="shared" si="30"/>
        <v>0.56999999999999995</v>
      </c>
      <c r="M266" s="111"/>
      <c r="N266" s="111"/>
      <c r="O266" s="111"/>
      <c r="P266" s="111"/>
    </row>
    <row r="267" spans="1:16" s="104" customFormat="1" x14ac:dyDescent="0.2">
      <c r="A267" s="98"/>
      <c r="B267" s="105"/>
      <c r="C267" s="114"/>
      <c r="D267" s="4" t="s">
        <v>63</v>
      </c>
      <c r="E267" s="124" t="s">
        <v>0</v>
      </c>
      <c r="F267" s="5">
        <v>1</v>
      </c>
      <c r="G267" s="6">
        <v>0.6</v>
      </c>
      <c r="H267" s="6"/>
      <c r="I267" s="7">
        <f t="shared" si="31"/>
        <v>0.95</v>
      </c>
      <c r="J267" s="125">
        <v>1</v>
      </c>
      <c r="K267" s="7"/>
      <c r="L267" s="7">
        <f t="shared" si="30"/>
        <v>0.56999999999999995</v>
      </c>
      <c r="M267" s="111"/>
      <c r="N267" s="111"/>
      <c r="O267" s="111"/>
      <c r="P267" s="111"/>
    </row>
    <row r="268" spans="1:16" s="104" customFormat="1" x14ac:dyDescent="0.2">
      <c r="A268" s="98"/>
      <c r="B268" s="105"/>
      <c r="C268" s="114"/>
      <c r="D268" s="4" t="s">
        <v>64</v>
      </c>
      <c r="E268" s="124" t="s">
        <v>0</v>
      </c>
      <c r="F268" s="5">
        <v>1</v>
      </c>
      <c r="G268" s="6">
        <v>0.6</v>
      </c>
      <c r="H268" s="6"/>
      <c r="I268" s="7">
        <f t="shared" si="31"/>
        <v>0.95</v>
      </c>
      <c r="J268" s="125">
        <v>1</v>
      </c>
      <c r="K268" s="7"/>
      <c r="L268" s="7">
        <f t="shared" si="30"/>
        <v>0.56999999999999995</v>
      </c>
      <c r="M268" s="111"/>
      <c r="N268" s="111"/>
      <c r="O268" s="111"/>
      <c r="P268" s="111"/>
    </row>
    <row r="269" spans="1:16" s="104" customFormat="1" x14ac:dyDescent="0.2">
      <c r="A269" s="98"/>
      <c r="B269" s="105"/>
      <c r="C269" s="114"/>
      <c r="D269" s="4" t="s">
        <v>65</v>
      </c>
      <c r="E269" s="124" t="s">
        <v>0</v>
      </c>
      <c r="F269" s="5">
        <v>1</v>
      </c>
      <c r="G269" s="6">
        <v>0.3</v>
      </c>
      <c r="H269" s="6"/>
      <c r="I269" s="7">
        <f t="shared" si="31"/>
        <v>0.95</v>
      </c>
      <c r="J269" s="125">
        <v>1</v>
      </c>
      <c r="K269" s="7"/>
      <c r="L269" s="7">
        <f t="shared" si="30"/>
        <v>0.28499999999999998</v>
      </c>
      <c r="M269" s="111"/>
      <c r="N269" s="111"/>
      <c r="O269" s="111"/>
      <c r="P269" s="111"/>
    </row>
    <row r="270" spans="1:16" s="104" customFormat="1" x14ac:dyDescent="0.2">
      <c r="A270" s="98"/>
      <c r="B270" s="105"/>
      <c r="C270" s="114"/>
      <c r="D270" s="4" t="s">
        <v>66</v>
      </c>
      <c r="E270" s="124" t="s">
        <v>0</v>
      </c>
      <c r="F270" s="5">
        <v>12</v>
      </c>
      <c r="G270" s="6">
        <v>0.4</v>
      </c>
      <c r="H270" s="6"/>
      <c r="I270" s="7">
        <v>1.2</v>
      </c>
      <c r="J270" s="125">
        <v>1</v>
      </c>
      <c r="K270" s="7"/>
      <c r="L270" s="7">
        <f t="shared" si="30"/>
        <v>5.7600000000000007</v>
      </c>
      <c r="M270" s="111"/>
      <c r="N270" s="111"/>
      <c r="O270" s="111"/>
      <c r="P270" s="111"/>
    </row>
    <row r="271" spans="1:16" s="104" customFormat="1" x14ac:dyDescent="0.2">
      <c r="A271" s="98"/>
      <c r="B271" s="105"/>
      <c r="C271" s="114"/>
      <c r="D271" s="4" t="s">
        <v>67</v>
      </c>
      <c r="E271" s="124" t="s">
        <v>0</v>
      </c>
      <c r="F271" s="5">
        <v>11</v>
      </c>
      <c r="G271" s="6">
        <v>0.4</v>
      </c>
      <c r="H271" s="6"/>
      <c r="I271" s="7">
        <v>1.2</v>
      </c>
      <c r="J271" s="125">
        <v>1</v>
      </c>
      <c r="K271" s="7"/>
      <c r="L271" s="7">
        <f t="shared" si="30"/>
        <v>5.28</v>
      </c>
      <c r="M271" s="111"/>
      <c r="N271" s="111"/>
      <c r="O271" s="111"/>
      <c r="P271" s="111"/>
    </row>
    <row r="272" spans="1:16" s="104" customFormat="1" x14ac:dyDescent="0.2">
      <c r="A272" s="98"/>
      <c r="B272" s="105"/>
      <c r="C272" s="114"/>
      <c r="D272" s="115" t="s">
        <v>45</v>
      </c>
      <c r="E272" s="116"/>
      <c r="F272" s="109"/>
      <c r="G272" s="110"/>
      <c r="H272" s="110"/>
      <c r="I272" s="111"/>
      <c r="J272" s="112"/>
      <c r="K272" s="111"/>
      <c r="L272" s="111"/>
      <c r="M272" s="111"/>
      <c r="N272" s="111"/>
      <c r="O272" s="111"/>
      <c r="P272" s="111"/>
    </row>
    <row r="273" spans="1:16" s="104" customFormat="1" x14ac:dyDescent="0.2">
      <c r="A273" s="98"/>
      <c r="B273" s="105"/>
      <c r="C273" s="114"/>
      <c r="D273" s="4" t="s">
        <v>61</v>
      </c>
      <c r="E273" s="124" t="s">
        <v>0</v>
      </c>
      <c r="F273" s="5">
        <v>1</v>
      </c>
      <c r="G273" s="6">
        <v>0.3</v>
      </c>
      <c r="H273" s="6"/>
      <c r="I273" s="7">
        <v>1.6</v>
      </c>
      <c r="J273" s="125">
        <v>1</v>
      </c>
      <c r="K273" s="7"/>
      <c r="L273" s="7">
        <f t="shared" ref="L273:L279" si="32">F273*G273*I273*J273</f>
        <v>0.48</v>
      </c>
      <c r="M273" s="111"/>
      <c r="N273" s="111"/>
      <c r="O273" s="111"/>
      <c r="P273" s="111"/>
    </row>
    <row r="274" spans="1:16" s="104" customFormat="1" x14ac:dyDescent="0.2">
      <c r="A274" s="98"/>
      <c r="B274" s="105"/>
      <c r="C274" s="114"/>
      <c r="D274" s="4" t="s">
        <v>62</v>
      </c>
      <c r="E274" s="124" t="s">
        <v>0</v>
      </c>
      <c r="F274" s="5">
        <v>1</v>
      </c>
      <c r="G274" s="6">
        <v>0.6</v>
      </c>
      <c r="H274" s="6"/>
      <c r="I274" s="7">
        <v>1.6</v>
      </c>
      <c r="J274" s="125">
        <v>1</v>
      </c>
      <c r="K274" s="7"/>
      <c r="L274" s="7">
        <f t="shared" si="32"/>
        <v>0.96</v>
      </c>
      <c r="M274" s="111"/>
      <c r="N274" s="111"/>
      <c r="O274" s="111"/>
      <c r="P274" s="111"/>
    </row>
    <row r="275" spans="1:16" s="104" customFormat="1" x14ac:dyDescent="0.2">
      <c r="A275" s="98"/>
      <c r="B275" s="105"/>
      <c r="C275" s="114"/>
      <c r="D275" s="4" t="s">
        <v>63</v>
      </c>
      <c r="E275" s="124" t="s">
        <v>0</v>
      </c>
      <c r="F275" s="5">
        <v>1</v>
      </c>
      <c r="G275" s="6">
        <v>0.6</v>
      </c>
      <c r="H275" s="6"/>
      <c r="I275" s="7">
        <v>1.6</v>
      </c>
      <c r="J275" s="125">
        <v>1</v>
      </c>
      <c r="K275" s="7"/>
      <c r="L275" s="7">
        <f t="shared" si="32"/>
        <v>0.96</v>
      </c>
      <c r="M275" s="111"/>
      <c r="N275" s="111"/>
      <c r="O275" s="111"/>
      <c r="P275" s="111"/>
    </row>
    <row r="276" spans="1:16" s="104" customFormat="1" x14ac:dyDescent="0.2">
      <c r="A276" s="98"/>
      <c r="B276" s="105"/>
      <c r="C276" s="114"/>
      <c r="D276" s="4" t="s">
        <v>64</v>
      </c>
      <c r="E276" s="124" t="s">
        <v>0</v>
      </c>
      <c r="F276" s="5">
        <v>1</v>
      </c>
      <c r="G276" s="6">
        <v>0.6</v>
      </c>
      <c r="H276" s="6"/>
      <c r="I276" s="7">
        <v>1.6</v>
      </c>
      <c r="J276" s="125">
        <v>1</v>
      </c>
      <c r="K276" s="7"/>
      <c r="L276" s="7">
        <f t="shared" si="32"/>
        <v>0.96</v>
      </c>
      <c r="M276" s="111"/>
      <c r="N276" s="111"/>
      <c r="O276" s="111"/>
      <c r="P276" s="111"/>
    </row>
    <row r="277" spans="1:16" s="104" customFormat="1" x14ac:dyDescent="0.2">
      <c r="A277" s="98"/>
      <c r="B277" s="105"/>
      <c r="C277" s="114"/>
      <c r="D277" s="4" t="s">
        <v>65</v>
      </c>
      <c r="E277" s="124" t="s">
        <v>0</v>
      </c>
      <c r="F277" s="5">
        <v>1</v>
      </c>
      <c r="G277" s="6">
        <v>0.3</v>
      </c>
      <c r="H277" s="6"/>
      <c r="I277" s="7">
        <v>1.6</v>
      </c>
      <c r="J277" s="125">
        <v>1</v>
      </c>
      <c r="K277" s="7"/>
      <c r="L277" s="7">
        <f t="shared" si="32"/>
        <v>0.48</v>
      </c>
      <c r="M277" s="111"/>
      <c r="N277" s="111"/>
      <c r="O277" s="111"/>
      <c r="P277" s="111"/>
    </row>
    <row r="278" spans="1:16" s="104" customFormat="1" x14ac:dyDescent="0.2">
      <c r="A278" s="98"/>
      <c r="B278" s="105"/>
      <c r="C278" s="114"/>
      <c r="D278" s="4" t="s">
        <v>66</v>
      </c>
      <c r="E278" s="124" t="s">
        <v>0</v>
      </c>
      <c r="F278" s="5">
        <v>12</v>
      </c>
      <c r="G278" s="6">
        <v>0.4</v>
      </c>
      <c r="H278" s="6"/>
      <c r="I278" s="7">
        <v>1.6</v>
      </c>
      <c r="J278" s="125">
        <v>1</v>
      </c>
      <c r="K278" s="7"/>
      <c r="L278" s="7">
        <f t="shared" si="32"/>
        <v>7.6800000000000015</v>
      </c>
      <c r="M278" s="111"/>
      <c r="N278" s="111"/>
      <c r="O278" s="111"/>
      <c r="P278" s="111"/>
    </row>
    <row r="279" spans="1:16" s="104" customFormat="1" x14ac:dyDescent="0.2">
      <c r="A279" s="98"/>
      <c r="B279" s="105"/>
      <c r="C279" s="114"/>
      <c r="D279" s="4" t="s">
        <v>67</v>
      </c>
      <c r="E279" s="124" t="s">
        <v>0</v>
      </c>
      <c r="F279" s="5">
        <v>11</v>
      </c>
      <c r="G279" s="6">
        <v>0.4</v>
      </c>
      <c r="H279" s="6"/>
      <c r="I279" s="7">
        <f>1.6-0.25</f>
        <v>1.35</v>
      </c>
      <c r="J279" s="125">
        <v>1</v>
      </c>
      <c r="K279" s="7"/>
      <c r="L279" s="7">
        <f t="shared" si="32"/>
        <v>5.9400000000000013</v>
      </c>
      <c r="M279" s="111"/>
      <c r="N279" s="111"/>
      <c r="O279" s="111"/>
      <c r="P279" s="111"/>
    </row>
    <row r="280" spans="1:16" s="104" customFormat="1" x14ac:dyDescent="0.2">
      <c r="A280" s="98"/>
      <c r="B280" s="105"/>
      <c r="C280" s="114"/>
      <c r="D280" s="115" t="s">
        <v>50</v>
      </c>
      <c r="E280" s="116"/>
      <c r="F280" s="109"/>
      <c r="G280" s="110"/>
      <c r="H280" s="110"/>
      <c r="I280" s="111"/>
      <c r="J280" s="112"/>
      <c r="K280" s="111"/>
      <c r="L280" s="111"/>
      <c r="M280" s="111"/>
      <c r="N280" s="111"/>
      <c r="O280" s="111"/>
      <c r="P280" s="111"/>
    </row>
    <row r="281" spans="1:16" s="104" customFormat="1" x14ac:dyDescent="0.2">
      <c r="A281" s="98"/>
      <c r="B281" s="105"/>
      <c r="C281" s="114"/>
      <c r="D281" s="4" t="s">
        <v>61</v>
      </c>
      <c r="E281" s="124" t="s">
        <v>0</v>
      </c>
      <c r="F281" s="5">
        <v>1</v>
      </c>
      <c r="G281" s="6">
        <v>0.3</v>
      </c>
      <c r="H281" s="6"/>
      <c r="I281" s="7">
        <f>1.2-0.25</f>
        <v>0.95</v>
      </c>
      <c r="J281" s="125">
        <v>1</v>
      </c>
      <c r="K281" s="7"/>
      <c r="L281" s="7">
        <f t="shared" ref="L281:L287" si="33">F281*G281*I281*J281</f>
        <v>0.28499999999999998</v>
      </c>
      <c r="M281" s="111"/>
      <c r="N281" s="111"/>
      <c r="O281" s="111"/>
      <c r="P281" s="111"/>
    </row>
    <row r="282" spans="1:16" s="104" customFormat="1" x14ac:dyDescent="0.2">
      <c r="A282" s="98"/>
      <c r="B282" s="105"/>
      <c r="C282" s="114"/>
      <c r="D282" s="4" t="s">
        <v>62</v>
      </c>
      <c r="E282" s="124" t="s">
        <v>0</v>
      </c>
      <c r="F282" s="5">
        <v>1</v>
      </c>
      <c r="G282" s="6">
        <v>0.6</v>
      </c>
      <c r="H282" s="6"/>
      <c r="I282" s="7">
        <f t="shared" ref="I282:I285" si="34">1.2-0.25</f>
        <v>0.95</v>
      </c>
      <c r="J282" s="125">
        <v>1</v>
      </c>
      <c r="K282" s="7"/>
      <c r="L282" s="7">
        <f t="shared" si="33"/>
        <v>0.56999999999999995</v>
      </c>
      <c r="M282" s="111"/>
      <c r="N282" s="111"/>
      <c r="O282" s="111"/>
      <c r="P282" s="111"/>
    </row>
    <row r="283" spans="1:16" s="104" customFormat="1" x14ac:dyDescent="0.2">
      <c r="A283" s="98"/>
      <c r="B283" s="105"/>
      <c r="C283" s="114"/>
      <c r="D283" s="4" t="s">
        <v>63</v>
      </c>
      <c r="E283" s="124" t="s">
        <v>0</v>
      </c>
      <c r="F283" s="5">
        <v>1</v>
      </c>
      <c r="G283" s="6">
        <v>0.6</v>
      </c>
      <c r="H283" s="6"/>
      <c r="I283" s="7">
        <f t="shared" si="34"/>
        <v>0.95</v>
      </c>
      <c r="J283" s="125">
        <v>1</v>
      </c>
      <c r="K283" s="7"/>
      <c r="L283" s="7">
        <f t="shared" si="33"/>
        <v>0.56999999999999995</v>
      </c>
      <c r="M283" s="111"/>
      <c r="N283" s="111"/>
      <c r="O283" s="111"/>
      <c r="P283" s="111"/>
    </row>
    <row r="284" spans="1:16" s="104" customFormat="1" x14ac:dyDescent="0.2">
      <c r="A284" s="98"/>
      <c r="B284" s="105"/>
      <c r="C284" s="114"/>
      <c r="D284" s="4" t="s">
        <v>64</v>
      </c>
      <c r="E284" s="124" t="s">
        <v>0</v>
      </c>
      <c r="F284" s="5">
        <v>1</v>
      </c>
      <c r="G284" s="6">
        <v>0.6</v>
      </c>
      <c r="H284" s="6"/>
      <c r="I284" s="7">
        <f t="shared" si="34"/>
        <v>0.95</v>
      </c>
      <c r="J284" s="125">
        <v>1</v>
      </c>
      <c r="K284" s="7"/>
      <c r="L284" s="7">
        <f t="shared" si="33"/>
        <v>0.56999999999999995</v>
      </c>
      <c r="M284" s="111"/>
      <c r="N284" s="111"/>
      <c r="O284" s="111"/>
      <c r="P284" s="111"/>
    </row>
    <row r="285" spans="1:16" s="104" customFormat="1" x14ac:dyDescent="0.2">
      <c r="A285" s="98"/>
      <c r="B285" s="105"/>
      <c r="C285" s="114"/>
      <c r="D285" s="4" t="s">
        <v>65</v>
      </c>
      <c r="E285" s="124" t="s">
        <v>0</v>
      </c>
      <c r="F285" s="5">
        <v>1</v>
      </c>
      <c r="G285" s="6">
        <v>0.3</v>
      </c>
      <c r="H285" s="6"/>
      <c r="I285" s="7">
        <f t="shared" si="34"/>
        <v>0.95</v>
      </c>
      <c r="J285" s="125">
        <v>1</v>
      </c>
      <c r="K285" s="7"/>
      <c r="L285" s="7">
        <f t="shared" si="33"/>
        <v>0.28499999999999998</v>
      </c>
      <c r="M285" s="111"/>
      <c r="N285" s="111"/>
      <c r="O285" s="111"/>
      <c r="P285" s="111"/>
    </row>
    <row r="286" spans="1:16" s="104" customFormat="1" x14ac:dyDescent="0.2">
      <c r="A286" s="98"/>
      <c r="B286" s="105"/>
      <c r="C286" s="114"/>
      <c r="D286" s="4" t="s">
        <v>66</v>
      </c>
      <c r="E286" s="124" t="s">
        <v>0</v>
      </c>
      <c r="F286" s="5">
        <v>12</v>
      </c>
      <c r="G286" s="6">
        <v>0.4</v>
      </c>
      <c r="H286" s="6"/>
      <c r="I286" s="7">
        <v>1.2</v>
      </c>
      <c r="J286" s="125">
        <v>1</v>
      </c>
      <c r="K286" s="7"/>
      <c r="L286" s="7">
        <f t="shared" si="33"/>
        <v>5.7600000000000007</v>
      </c>
      <c r="M286" s="111"/>
      <c r="N286" s="111"/>
      <c r="O286" s="111"/>
      <c r="P286" s="111"/>
    </row>
    <row r="287" spans="1:16" s="104" customFormat="1" x14ac:dyDescent="0.2">
      <c r="A287" s="98"/>
      <c r="B287" s="105"/>
      <c r="C287" s="114"/>
      <c r="D287" s="4" t="s">
        <v>67</v>
      </c>
      <c r="E287" s="124" t="s">
        <v>0</v>
      </c>
      <c r="F287" s="5">
        <v>11</v>
      </c>
      <c r="G287" s="6">
        <v>0.4</v>
      </c>
      <c r="H287" s="6"/>
      <c r="I287" s="7">
        <v>1.2</v>
      </c>
      <c r="J287" s="125">
        <v>1</v>
      </c>
      <c r="K287" s="7"/>
      <c r="L287" s="7">
        <f t="shared" si="33"/>
        <v>5.28</v>
      </c>
      <c r="M287" s="111"/>
      <c r="N287" s="111"/>
      <c r="O287" s="111"/>
      <c r="P287" s="111"/>
    </row>
    <row r="288" spans="1:16" s="104" customFormat="1" x14ac:dyDescent="0.2">
      <c r="A288" s="98"/>
      <c r="B288" s="105"/>
      <c r="C288" s="114"/>
      <c r="D288" s="115" t="s">
        <v>69</v>
      </c>
      <c r="E288" s="116"/>
      <c r="F288" s="109"/>
      <c r="G288" s="110"/>
      <c r="H288" s="110"/>
      <c r="I288" s="111"/>
      <c r="J288" s="112"/>
      <c r="K288" s="111"/>
      <c r="L288" s="111"/>
      <c r="M288" s="111"/>
      <c r="N288" s="111"/>
      <c r="O288" s="111"/>
      <c r="P288" s="111"/>
    </row>
    <row r="289" spans="1:16" s="104" customFormat="1" x14ac:dyDescent="0.2">
      <c r="A289" s="98"/>
      <c r="B289" s="105"/>
      <c r="C289" s="114"/>
      <c r="D289" s="4" t="s">
        <v>61</v>
      </c>
      <c r="E289" s="124" t="s">
        <v>0</v>
      </c>
      <c r="F289" s="5">
        <v>1</v>
      </c>
      <c r="G289" s="6">
        <v>0.3</v>
      </c>
      <c r="H289" s="6"/>
      <c r="I289" s="7">
        <v>1.6</v>
      </c>
      <c r="J289" s="125">
        <v>1</v>
      </c>
      <c r="K289" s="7"/>
      <c r="L289" s="7">
        <f t="shared" ref="L289:L295" si="35">F289*G289*I289*J289</f>
        <v>0.48</v>
      </c>
      <c r="M289" s="111"/>
      <c r="N289" s="111"/>
      <c r="O289" s="111"/>
      <c r="P289" s="111"/>
    </row>
    <row r="290" spans="1:16" s="104" customFormat="1" x14ac:dyDescent="0.2">
      <c r="A290" s="98"/>
      <c r="B290" s="105"/>
      <c r="C290" s="114"/>
      <c r="D290" s="4" t="s">
        <v>62</v>
      </c>
      <c r="E290" s="124" t="s">
        <v>0</v>
      </c>
      <c r="F290" s="5">
        <v>1</v>
      </c>
      <c r="G290" s="6">
        <v>0.6</v>
      </c>
      <c r="H290" s="6"/>
      <c r="I290" s="7">
        <v>1.6</v>
      </c>
      <c r="J290" s="125">
        <v>1</v>
      </c>
      <c r="K290" s="7"/>
      <c r="L290" s="7">
        <f t="shared" si="35"/>
        <v>0.96</v>
      </c>
      <c r="M290" s="111"/>
      <c r="N290" s="111"/>
      <c r="O290" s="111"/>
      <c r="P290" s="111"/>
    </row>
    <row r="291" spans="1:16" s="104" customFormat="1" x14ac:dyDescent="0.2">
      <c r="A291" s="98"/>
      <c r="B291" s="105"/>
      <c r="C291" s="114"/>
      <c r="D291" s="4" t="s">
        <v>63</v>
      </c>
      <c r="E291" s="124" t="s">
        <v>0</v>
      </c>
      <c r="F291" s="5">
        <v>1</v>
      </c>
      <c r="G291" s="6">
        <v>0.6</v>
      </c>
      <c r="H291" s="6"/>
      <c r="I291" s="7">
        <v>1.6</v>
      </c>
      <c r="J291" s="125">
        <v>1</v>
      </c>
      <c r="K291" s="7"/>
      <c r="L291" s="7">
        <f t="shared" si="35"/>
        <v>0.96</v>
      </c>
      <c r="M291" s="111"/>
      <c r="N291" s="111"/>
      <c r="O291" s="111"/>
      <c r="P291" s="111"/>
    </row>
    <row r="292" spans="1:16" s="104" customFormat="1" x14ac:dyDescent="0.2">
      <c r="A292" s="98"/>
      <c r="B292" s="105"/>
      <c r="C292" s="114"/>
      <c r="D292" s="4" t="s">
        <v>64</v>
      </c>
      <c r="E292" s="124" t="s">
        <v>0</v>
      </c>
      <c r="F292" s="5">
        <v>1</v>
      </c>
      <c r="G292" s="6">
        <v>0.6</v>
      </c>
      <c r="H292" s="6"/>
      <c r="I292" s="7">
        <v>1.6</v>
      </c>
      <c r="J292" s="125">
        <v>1</v>
      </c>
      <c r="K292" s="7"/>
      <c r="L292" s="7">
        <f t="shared" si="35"/>
        <v>0.96</v>
      </c>
      <c r="M292" s="111"/>
      <c r="N292" s="111"/>
      <c r="O292" s="111"/>
      <c r="P292" s="111"/>
    </row>
    <row r="293" spans="1:16" s="104" customFormat="1" x14ac:dyDescent="0.2">
      <c r="A293" s="98"/>
      <c r="B293" s="105"/>
      <c r="C293" s="114"/>
      <c r="D293" s="4" t="s">
        <v>65</v>
      </c>
      <c r="E293" s="124" t="s">
        <v>0</v>
      </c>
      <c r="F293" s="5">
        <v>1</v>
      </c>
      <c r="G293" s="6">
        <v>0.3</v>
      </c>
      <c r="H293" s="6"/>
      <c r="I293" s="7">
        <v>1.6</v>
      </c>
      <c r="J293" s="125">
        <v>1</v>
      </c>
      <c r="K293" s="7"/>
      <c r="L293" s="7">
        <f t="shared" si="35"/>
        <v>0.48</v>
      </c>
      <c r="M293" s="111"/>
      <c r="N293" s="111"/>
      <c r="O293" s="111"/>
      <c r="P293" s="111"/>
    </row>
    <row r="294" spans="1:16" s="104" customFormat="1" x14ac:dyDescent="0.2">
      <c r="A294" s="98"/>
      <c r="B294" s="105"/>
      <c r="C294" s="114"/>
      <c r="D294" s="4" t="s">
        <v>66</v>
      </c>
      <c r="E294" s="124" t="s">
        <v>0</v>
      </c>
      <c r="F294" s="5">
        <v>12</v>
      </c>
      <c r="G294" s="6">
        <v>0.4</v>
      </c>
      <c r="H294" s="6"/>
      <c r="I294" s="7">
        <v>1.6</v>
      </c>
      <c r="J294" s="125">
        <v>1</v>
      </c>
      <c r="K294" s="7"/>
      <c r="L294" s="7">
        <f t="shared" si="35"/>
        <v>7.6800000000000015</v>
      </c>
      <c r="M294" s="111"/>
      <c r="N294" s="111"/>
      <c r="O294" s="111"/>
      <c r="P294" s="111"/>
    </row>
    <row r="295" spans="1:16" s="104" customFormat="1" x14ac:dyDescent="0.2">
      <c r="A295" s="98"/>
      <c r="B295" s="105"/>
      <c r="C295" s="114"/>
      <c r="D295" s="4" t="s">
        <v>67</v>
      </c>
      <c r="E295" s="124" t="s">
        <v>0</v>
      </c>
      <c r="F295" s="5">
        <v>11</v>
      </c>
      <c r="G295" s="6">
        <v>0.4</v>
      </c>
      <c r="H295" s="6"/>
      <c r="I295" s="7">
        <f>1.6-0.25</f>
        <v>1.35</v>
      </c>
      <c r="J295" s="125">
        <v>1</v>
      </c>
      <c r="K295" s="7"/>
      <c r="L295" s="7">
        <f t="shared" si="35"/>
        <v>5.9400000000000013</v>
      </c>
      <c r="M295" s="111"/>
      <c r="N295" s="111"/>
      <c r="O295" s="111"/>
      <c r="P295" s="111"/>
    </row>
    <row r="296" spans="1:16" s="104" customFormat="1" x14ac:dyDescent="0.2">
      <c r="A296" s="98"/>
      <c r="B296" s="105"/>
      <c r="C296" s="114"/>
      <c r="D296" s="115" t="s">
        <v>70</v>
      </c>
      <c r="E296" s="116"/>
      <c r="F296" s="109"/>
      <c r="G296" s="110"/>
      <c r="H296" s="110"/>
      <c r="I296" s="111"/>
      <c r="J296" s="112"/>
      <c r="K296" s="111"/>
      <c r="L296" s="111"/>
      <c r="M296" s="111"/>
      <c r="N296" s="111"/>
      <c r="O296" s="111"/>
      <c r="P296" s="111"/>
    </row>
    <row r="297" spans="1:16" s="104" customFormat="1" x14ac:dyDescent="0.2">
      <c r="A297" s="98"/>
      <c r="B297" s="105"/>
      <c r="C297" s="114"/>
      <c r="D297" s="4" t="s">
        <v>61</v>
      </c>
      <c r="E297" s="124" t="s">
        <v>0</v>
      </c>
      <c r="F297" s="5">
        <v>1</v>
      </c>
      <c r="G297" s="6">
        <v>0.3</v>
      </c>
      <c r="H297" s="6"/>
      <c r="I297" s="7">
        <v>2.15</v>
      </c>
      <c r="J297" s="125">
        <v>1</v>
      </c>
      <c r="K297" s="7"/>
      <c r="L297" s="7">
        <f t="shared" ref="L297:L303" si="36">F297*G297*I297*J297</f>
        <v>0.64499999999999991</v>
      </c>
      <c r="M297" s="111"/>
      <c r="N297" s="111"/>
      <c r="O297" s="111"/>
      <c r="P297" s="111"/>
    </row>
    <row r="298" spans="1:16" s="104" customFormat="1" x14ac:dyDescent="0.2">
      <c r="A298" s="98"/>
      <c r="B298" s="105"/>
      <c r="C298" s="114"/>
      <c r="D298" s="4" t="s">
        <v>62</v>
      </c>
      <c r="E298" s="124" t="s">
        <v>0</v>
      </c>
      <c r="F298" s="5">
        <v>1</v>
      </c>
      <c r="G298" s="6">
        <v>0.6</v>
      </c>
      <c r="H298" s="6"/>
      <c r="I298" s="7">
        <v>2.15</v>
      </c>
      <c r="J298" s="125">
        <v>1</v>
      </c>
      <c r="K298" s="7"/>
      <c r="L298" s="7">
        <f t="shared" si="36"/>
        <v>1.2899999999999998</v>
      </c>
      <c r="M298" s="111"/>
      <c r="N298" s="111"/>
      <c r="O298" s="111"/>
      <c r="P298" s="111"/>
    </row>
    <row r="299" spans="1:16" s="104" customFormat="1" x14ac:dyDescent="0.2">
      <c r="A299" s="98"/>
      <c r="B299" s="105"/>
      <c r="C299" s="114"/>
      <c r="D299" s="4" t="s">
        <v>63</v>
      </c>
      <c r="E299" s="124" t="s">
        <v>0</v>
      </c>
      <c r="F299" s="5">
        <v>1</v>
      </c>
      <c r="G299" s="6">
        <v>0.6</v>
      </c>
      <c r="H299" s="6"/>
      <c r="I299" s="7">
        <v>2.15</v>
      </c>
      <c r="J299" s="125">
        <v>1</v>
      </c>
      <c r="K299" s="7"/>
      <c r="L299" s="7">
        <f t="shared" si="36"/>
        <v>1.2899999999999998</v>
      </c>
      <c r="M299" s="111"/>
      <c r="N299" s="111"/>
      <c r="O299" s="111"/>
      <c r="P299" s="111"/>
    </row>
    <row r="300" spans="1:16" s="104" customFormat="1" x14ac:dyDescent="0.2">
      <c r="A300" s="98"/>
      <c r="B300" s="105"/>
      <c r="C300" s="114"/>
      <c r="D300" s="4" t="s">
        <v>64</v>
      </c>
      <c r="E300" s="124" t="s">
        <v>0</v>
      </c>
      <c r="F300" s="5">
        <v>1</v>
      </c>
      <c r="G300" s="6">
        <v>0.6</v>
      </c>
      <c r="H300" s="6"/>
      <c r="I300" s="7">
        <v>2.15</v>
      </c>
      <c r="J300" s="125">
        <v>1</v>
      </c>
      <c r="K300" s="7"/>
      <c r="L300" s="7">
        <f t="shared" si="36"/>
        <v>1.2899999999999998</v>
      </c>
      <c r="M300" s="111"/>
      <c r="N300" s="111"/>
      <c r="O300" s="111"/>
      <c r="P300" s="111"/>
    </row>
    <row r="301" spans="1:16" s="104" customFormat="1" x14ac:dyDescent="0.2">
      <c r="A301" s="98"/>
      <c r="B301" s="105"/>
      <c r="C301" s="114"/>
      <c r="D301" s="4" t="s">
        <v>65</v>
      </c>
      <c r="E301" s="124" t="s">
        <v>0</v>
      </c>
      <c r="F301" s="5">
        <v>1</v>
      </c>
      <c r="G301" s="6">
        <v>0.3</v>
      </c>
      <c r="H301" s="6"/>
      <c r="I301" s="7">
        <v>2.15</v>
      </c>
      <c r="J301" s="125">
        <v>1</v>
      </c>
      <c r="K301" s="7"/>
      <c r="L301" s="7">
        <f t="shared" si="36"/>
        <v>0.64499999999999991</v>
      </c>
      <c r="M301" s="111"/>
      <c r="N301" s="111"/>
      <c r="O301" s="111"/>
      <c r="P301" s="111"/>
    </row>
    <row r="302" spans="1:16" s="104" customFormat="1" x14ac:dyDescent="0.2">
      <c r="A302" s="98"/>
      <c r="B302" s="105"/>
      <c r="C302" s="114"/>
      <c r="D302" s="4" t="s">
        <v>66</v>
      </c>
      <c r="E302" s="124" t="s">
        <v>0</v>
      </c>
      <c r="F302" s="5">
        <v>12</v>
      </c>
      <c r="G302" s="6">
        <v>0.4</v>
      </c>
      <c r="H302" s="6"/>
      <c r="I302" s="7">
        <v>2.15</v>
      </c>
      <c r="J302" s="125">
        <v>1</v>
      </c>
      <c r="K302" s="7"/>
      <c r="L302" s="7">
        <f t="shared" si="36"/>
        <v>10.32</v>
      </c>
      <c r="M302" s="111"/>
      <c r="N302" s="111"/>
      <c r="O302" s="111"/>
      <c r="P302" s="111"/>
    </row>
    <row r="303" spans="1:16" s="104" customFormat="1" x14ac:dyDescent="0.2">
      <c r="A303" s="98"/>
      <c r="B303" s="105"/>
      <c r="C303" s="114"/>
      <c r="D303" s="4" t="s">
        <v>67</v>
      </c>
      <c r="E303" s="124" t="s">
        <v>0</v>
      </c>
      <c r="F303" s="5">
        <v>11</v>
      </c>
      <c r="G303" s="6">
        <v>0.4</v>
      </c>
      <c r="H303" s="6"/>
      <c r="I303" s="7">
        <v>2.15</v>
      </c>
      <c r="J303" s="125">
        <v>1</v>
      </c>
      <c r="K303" s="7"/>
      <c r="L303" s="7">
        <f t="shared" si="36"/>
        <v>9.4600000000000009</v>
      </c>
      <c r="M303" s="111"/>
      <c r="N303" s="111"/>
      <c r="O303" s="111"/>
      <c r="P303" s="111"/>
    </row>
    <row r="304" spans="1:16" s="104" customFormat="1" x14ac:dyDescent="0.2">
      <c r="A304" s="98"/>
      <c r="B304" s="105"/>
      <c r="C304" s="114"/>
      <c r="D304" s="117"/>
      <c r="E304" s="116"/>
      <c r="F304" s="109"/>
      <c r="G304" s="110"/>
      <c r="H304" s="110"/>
      <c r="I304" s="110"/>
      <c r="J304" s="112"/>
      <c r="K304" s="111"/>
      <c r="L304" s="111"/>
      <c r="M304" s="111"/>
      <c r="N304" s="111"/>
      <c r="O304" s="111"/>
      <c r="P304" s="111"/>
    </row>
    <row r="305" spans="1:16" s="104" customFormat="1" x14ac:dyDescent="0.2">
      <c r="A305" s="98"/>
      <c r="B305" s="105"/>
      <c r="C305" s="99" t="s">
        <v>1183</v>
      </c>
      <c r="D305" s="100" t="s">
        <v>519</v>
      </c>
      <c r="E305" s="101" t="s">
        <v>0</v>
      </c>
      <c r="F305" s="1"/>
      <c r="G305" s="2"/>
      <c r="H305" s="2"/>
      <c r="I305" s="2"/>
      <c r="J305" s="102"/>
      <c r="K305" s="103"/>
      <c r="L305" s="103"/>
      <c r="M305" s="103"/>
      <c r="N305" s="103"/>
      <c r="O305" s="103"/>
      <c r="P305" s="103">
        <f>SUM(L305:L383)</f>
        <v>96.914400000000029</v>
      </c>
    </row>
    <row r="306" spans="1:16" s="104" customFormat="1" x14ac:dyDescent="0.2">
      <c r="A306" s="98"/>
      <c r="B306" s="105"/>
      <c r="C306" s="99"/>
      <c r="D306" s="123" t="s">
        <v>59</v>
      </c>
      <c r="E306" s="101"/>
      <c r="F306" s="1"/>
      <c r="G306" s="2"/>
      <c r="H306" s="2"/>
      <c r="I306" s="2"/>
      <c r="J306" s="102"/>
      <c r="K306" s="103"/>
      <c r="L306" s="103"/>
      <c r="M306" s="103"/>
      <c r="N306" s="103"/>
      <c r="O306" s="103"/>
      <c r="P306" s="103"/>
    </row>
    <row r="307" spans="1:16" s="104" customFormat="1" x14ac:dyDescent="0.2">
      <c r="A307" s="98"/>
      <c r="B307" s="105"/>
      <c r="C307" s="106"/>
      <c r="D307" s="115" t="s">
        <v>68</v>
      </c>
      <c r="E307" s="116"/>
      <c r="F307" s="109"/>
      <c r="G307" s="110"/>
      <c r="H307" s="110"/>
      <c r="I307" s="111"/>
      <c r="J307" s="112"/>
      <c r="K307" s="111"/>
      <c r="L307" s="111"/>
      <c r="M307" s="113"/>
      <c r="N307" s="113"/>
      <c r="O307" s="113"/>
      <c r="P307" s="113"/>
    </row>
    <row r="308" spans="1:16" s="104" customFormat="1" x14ac:dyDescent="0.2">
      <c r="A308" s="98"/>
      <c r="B308" s="105"/>
      <c r="C308" s="106"/>
      <c r="D308" s="4" t="s">
        <v>53</v>
      </c>
      <c r="E308" s="124" t="s">
        <v>0</v>
      </c>
      <c r="F308" s="5">
        <v>1</v>
      </c>
      <c r="G308" s="6">
        <v>8.4600000000000009</v>
      </c>
      <c r="H308" s="6"/>
      <c r="I308" s="7">
        <v>0.2</v>
      </c>
      <c r="J308" s="125">
        <v>1</v>
      </c>
      <c r="K308" s="7"/>
      <c r="L308" s="7">
        <f t="shared" ref="L308:L312" si="37">F308*G308*I308*J308</f>
        <v>1.6920000000000002</v>
      </c>
      <c r="M308" s="113"/>
      <c r="N308" s="113"/>
      <c r="O308" s="113"/>
      <c r="P308" s="113"/>
    </row>
    <row r="309" spans="1:16" s="104" customFormat="1" x14ac:dyDescent="0.2">
      <c r="A309" s="98"/>
      <c r="B309" s="105"/>
      <c r="C309" s="114"/>
      <c r="D309" s="4" t="s">
        <v>46</v>
      </c>
      <c r="E309" s="124" t="s">
        <v>0</v>
      </c>
      <c r="F309" s="5">
        <v>1</v>
      </c>
      <c r="G309" s="6">
        <v>4.2</v>
      </c>
      <c r="H309" s="6"/>
      <c r="I309" s="7">
        <v>0.2</v>
      </c>
      <c r="J309" s="125">
        <v>1</v>
      </c>
      <c r="K309" s="7"/>
      <c r="L309" s="7">
        <f t="shared" si="37"/>
        <v>0.84000000000000008</v>
      </c>
      <c r="M309" s="111"/>
      <c r="N309" s="111"/>
      <c r="O309" s="111"/>
      <c r="P309" s="111"/>
    </row>
    <row r="310" spans="1:16" s="104" customFormat="1" x14ac:dyDescent="0.2">
      <c r="A310" s="98"/>
      <c r="B310" s="105"/>
      <c r="C310" s="114"/>
      <c r="D310" s="131" t="s">
        <v>47</v>
      </c>
      <c r="E310" s="124" t="s">
        <v>0</v>
      </c>
      <c r="F310" s="5">
        <v>1</v>
      </c>
      <c r="G310" s="6">
        <f>0.22+0.44+0.4+0.43+0.4+0.44+0.4+0.43+0.4+0.43+0.4+0.43+0.4+0.43+0.4+0.43+0.22</f>
        <v>6.7</v>
      </c>
      <c r="H310" s="6"/>
      <c r="I310" s="7">
        <v>0.2</v>
      </c>
      <c r="J310" s="125">
        <v>1</v>
      </c>
      <c r="K310" s="7"/>
      <c r="L310" s="7">
        <f t="shared" si="37"/>
        <v>1.34</v>
      </c>
      <c r="M310" s="111"/>
      <c r="N310" s="111"/>
      <c r="O310" s="111"/>
      <c r="P310" s="111"/>
    </row>
    <row r="311" spans="1:16" s="104" customFormat="1" x14ac:dyDescent="0.2">
      <c r="A311" s="98"/>
      <c r="B311" s="105"/>
      <c r="C311" s="114"/>
      <c r="D311" s="4" t="s">
        <v>48</v>
      </c>
      <c r="E311" s="124" t="s">
        <v>0</v>
      </c>
      <c r="F311" s="5">
        <v>1</v>
      </c>
      <c r="G311" s="6">
        <v>4.2</v>
      </c>
      <c r="H311" s="6"/>
      <c r="I311" s="7">
        <v>0.2</v>
      </c>
      <c r="J311" s="125">
        <v>1</v>
      </c>
      <c r="K311" s="7"/>
      <c r="L311" s="7">
        <f t="shared" si="37"/>
        <v>0.84000000000000008</v>
      </c>
      <c r="M311" s="111"/>
      <c r="N311" s="111"/>
      <c r="O311" s="111"/>
      <c r="P311" s="111"/>
    </row>
    <row r="312" spans="1:16" s="104" customFormat="1" x14ac:dyDescent="0.2">
      <c r="A312" s="98"/>
      <c r="B312" s="105"/>
      <c r="C312" s="114"/>
      <c r="D312" s="131" t="s">
        <v>49</v>
      </c>
      <c r="E312" s="124" t="s">
        <v>0</v>
      </c>
      <c r="F312" s="5">
        <v>1</v>
      </c>
      <c r="G312" s="6">
        <v>6.7</v>
      </c>
      <c r="H312" s="6"/>
      <c r="I312" s="7">
        <v>0.2</v>
      </c>
      <c r="J312" s="125">
        <v>1</v>
      </c>
      <c r="K312" s="7"/>
      <c r="L312" s="7">
        <f t="shared" si="37"/>
        <v>1.34</v>
      </c>
      <c r="M312" s="111"/>
      <c r="N312" s="111"/>
      <c r="O312" s="111"/>
      <c r="P312" s="111"/>
    </row>
    <row r="313" spans="1:16" s="104" customFormat="1" x14ac:dyDescent="0.2">
      <c r="A313" s="98"/>
      <c r="B313" s="105"/>
      <c r="C313" s="114"/>
      <c r="D313" s="115" t="s">
        <v>44</v>
      </c>
      <c r="E313" s="116"/>
      <c r="F313" s="109"/>
      <c r="G313" s="110"/>
      <c r="H313" s="110"/>
      <c r="I313" s="111"/>
      <c r="J313" s="112"/>
      <c r="K313" s="111"/>
      <c r="L313" s="111"/>
      <c r="M313" s="111"/>
      <c r="N313" s="111"/>
      <c r="O313" s="111"/>
      <c r="P313" s="111"/>
    </row>
    <row r="314" spans="1:16" s="104" customFormat="1" x14ac:dyDescent="0.2">
      <c r="A314" s="98"/>
      <c r="B314" s="105"/>
      <c r="C314" s="114"/>
      <c r="D314" s="4" t="s">
        <v>53</v>
      </c>
      <c r="E314" s="124" t="s">
        <v>0</v>
      </c>
      <c r="F314" s="5">
        <v>1</v>
      </c>
      <c r="G314" s="6">
        <v>8.4600000000000009</v>
      </c>
      <c r="H314" s="6"/>
      <c r="I314" s="7">
        <v>0.2</v>
      </c>
      <c r="J314" s="125">
        <v>1</v>
      </c>
      <c r="K314" s="7"/>
      <c r="L314" s="7">
        <f t="shared" ref="L314:L318" si="38">F314*G314*I314*J314</f>
        <v>1.6920000000000002</v>
      </c>
      <c r="M314" s="111"/>
      <c r="N314" s="111"/>
      <c r="O314" s="111"/>
      <c r="P314" s="111"/>
    </row>
    <row r="315" spans="1:16" s="104" customFormat="1" x14ac:dyDescent="0.2">
      <c r="A315" s="98"/>
      <c r="B315" s="105"/>
      <c r="C315" s="114"/>
      <c r="D315" s="4" t="s">
        <v>46</v>
      </c>
      <c r="E315" s="124" t="s">
        <v>0</v>
      </c>
      <c r="F315" s="5">
        <v>1</v>
      </c>
      <c r="G315" s="6">
        <v>4.2</v>
      </c>
      <c r="H315" s="6"/>
      <c r="I315" s="7">
        <v>0.2</v>
      </c>
      <c r="J315" s="125">
        <v>1</v>
      </c>
      <c r="K315" s="7"/>
      <c r="L315" s="7">
        <f t="shared" si="38"/>
        <v>0.84000000000000008</v>
      </c>
      <c r="M315" s="111"/>
      <c r="N315" s="111"/>
      <c r="O315" s="111"/>
      <c r="P315" s="111"/>
    </row>
    <row r="316" spans="1:16" s="104" customFormat="1" x14ac:dyDescent="0.2">
      <c r="A316" s="98"/>
      <c r="B316" s="105"/>
      <c r="C316" s="114"/>
      <c r="D316" s="131" t="s">
        <v>47</v>
      </c>
      <c r="E316" s="124" t="s">
        <v>0</v>
      </c>
      <c r="F316" s="5">
        <v>1</v>
      </c>
      <c r="G316" s="6">
        <f>0.22+0.44+0.4+0.43+0.4+0.44+0.4+0.43+0.4+0.43+0.4+0.43+0.4+0.43+0.4+0.43+0.22</f>
        <v>6.7</v>
      </c>
      <c r="H316" s="6"/>
      <c r="I316" s="7">
        <v>0.2</v>
      </c>
      <c r="J316" s="125">
        <v>1</v>
      </c>
      <c r="K316" s="7"/>
      <c r="L316" s="7">
        <f t="shared" si="38"/>
        <v>1.34</v>
      </c>
      <c r="M316" s="111"/>
      <c r="N316" s="111"/>
      <c r="O316" s="111"/>
      <c r="P316" s="111"/>
    </row>
    <row r="317" spans="1:16" s="104" customFormat="1" x14ac:dyDescent="0.2">
      <c r="A317" s="98"/>
      <c r="B317" s="105"/>
      <c r="C317" s="114"/>
      <c r="D317" s="4" t="s">
        <v>48</v>
      </c>
      <c r="E317" s="124" t="s">
        <v>0</v>
      </c>
      <c r="F317" s="5">
        <v>1</v>
      </c>
      <c r="G317" s="6">
        <v>4.2</v>
      </c>
      <c r="H317" s="6"/>
      <c r="I317" s="7">
        <v>0.2</v>
      </c>
      <c r="J317" s="125">
        <v>1</v>
      </c>
      <c r="K317" s="7"/>
      <c r="L317" s="7">
        <f t="shared" si="38"/>
        <v>0.84000000000000008</v>
      </c>
      <c r="M317" s="111"/>
      <c r="N317" s="111"/>
      <c r="O317" s="111"/>
      <c r="P317" s="111"/>
    </row>
    <row r="318" spans="1:16" s="104" customFormat="1" x14ac:dyDescent="0.2">
      <c r="A318" s="98"/>
      <c r="B318" s="105"/>
      <c r="C318" s="114"/>
      <c r="D318" s="131" t="s">
        <v>49</v>
      </c>
      <c r="E318" s="124" t="s">
        <v>0</v>
      </c>
      <c r="F318" s="5">
        <v>1</v>
      </c>
      <c r="G318" s="6">
        <v>6.7</v>
      </c>
      <c r="H318" s="6"/>
      <c r="I318" s="7">
        <v>0.2</v>
      </c>
      <c r="J318" s="125">
        <v>1</v>
      </c>
      <c r="K318" s="7"/>
      <c r="L318" s="7">
        <f t="shared" si="38"/>
        <v>1.34</v>
      </c>
      <c r="M318" s="111"/>
      <c r="N318" s="111"/>
      <c r="O318" s="111"/>
      <c r="P318" s="111"/>
    </row>
    <row r="319" spans="1:16" s="104" customFormat="1" x14ac:dyDescent="0.2">
      <c r="A319" s="98"/>
      <c r="B319" s="105"/>
      <c r="C319" s="114"/>
      <c r="D319" s="115" t="s">
        <v>45</v>
      </c>
      <c r="E319" s="116"/>
      <c r="F319" s="109"/>
      <c r="G319" s="110"/>
      <c r="H319" s="110"/>
      <c r="I319" s="111"/>
      <c r="J319" s="112"/>
      <c r="K319" s="111"/>
      <c r="L319" s="111"/>
      <c r="M319" s="111"/>
      <c r="N319" s="111"/>
      <c r="O319" s="111"/>
      <c r="P319" s="111"/>
    </row>
    <row r="320" spans="1:16" s="104" customFormat="1" x14ac:dyDescent="0.2">
      <c r="A320" s="98"/>
      <c r="B320" s="105"/>
      <c r="C320" s="114"/>
      <c r="D320" s="4" t="s">
        <v>53</v>
      </c>
      <c r="E320" s="124" t="s">
        <v>0</v>
      </c>
      <c r="F320" s="5">
        <v>1</v>
      </c>
      <c r="G320" s="6">
        <v>8.4600000000000009</v>
      </c>
      <c r="H320" s="6"/>
      <c r="I320" s="7">
        <v>0.2</v>
      </c>
      <c r="J320" s="125">
        <v>1</v>
      </c>
      <c r="K320" s="7"/>
      <c r="L320" s="7">
        <f t="shared" ref="L320:L324" si="39">F320*G320*I320*J320</f>
        <v>1.6920000000000002</v>
      </c>
      <c r="M320" s="111"/>
      <c r="N320" s="111"/>
      <c r="O320" s="111"/>
      <c r="P320" s="111"/>
    </row>
    <row r="321" spans="1:16" s="104" customFormat="1" x14ac:dyDescent="0.2">
      <c r="A321" s="98"/>
      <c r="B321" s="105"/>
      <c r="C321" s="114"/>
      <c r="D321" s="4" t="s">
        <v>46</v>
      </c>
      <c r="E321" s="124" t="s">
        <v>0</v>
      </c>
      <c r="F321" s="5">
        <v>1</v>
      </c>
      <c r="G321" s="6">
        <v>4.2</v>
      </c>
      <c r="H321" s="6"/>
      <c r="I321" s="7">
        <v>0.2</v>
      </c>
      <c r="J321" s="125">
        <v>1</v>
      </c>
      <c r="K321" s="7"/>
      <c r="L321" s="7">
        <f t="shared" si="39"/>
        <v>0.84000000000000008</v>
      </c>
      <c r="M321" s="111"/>
      <c r="N321" s="111"/>
      <c r="O321" s="111"/>
      <c r="P321" s="111"/>
    </row>
    <row r="322" spans="1:16" s="104" customFormat="1" x14ac:dyDescent="0.2">
      <c r="A322" s="98"/>
      <c r="B322" s="105"/>
      <c r="C322" s="114"/>
      <c r="D322" s="131" t="s">
        <v>47</v>
      </c>
      <c r="E322" s="124" t="s">
        <v>0</v>
      </c>
      <c r="F322" s="5">
        <v>1</v>
      </c>
      <c r="G322" s="6">
        <f>0.22+0.44+0.4+0.43+0.4+0.44+0.4+0.43+0.4+0.43+0.4+0.43+0.4+0.43+0.4+0.43+0.22</f>
        <v>6.7</v>
      </c>
      <c r="H322" s="6"/>
      <c r="I322" s="7">
        <v>0.2</v>
      </c>
      <c r="J322" s="125">
        <v>1</v>
      </c>
      <c r="K322" s="7"/>
      <c r="L322" s="7">
        <f t="shared" si="39"/>
        <v>1.34</v>
      </c>
      <c r="M322" s="111"/>
      <c r="N322" s="111"/>
      <c r="O322" s="111"/>
      <c r="P322" s="111"/>
    </row>
    <row r="323" spans="1:16" s="104" customFormat="1" x14ac:dyDescent="0.2">
      <c r="A323" s="98"/>
      <c r="B323" s="105"/>
      <c r="C323" s="114"/>
      <c r="D323" s="4" t="s">
        <v>48</v>
      </c>
      <c r="E323" s="124" t="s">
        <v>0</v>
      </c>
      <c r="F323" s="5">
        <v>1</v>
      </c>
      <c r="G323" s="6">
        <v>4.2</v>
      </c>
      <c r="H323" s="6"/>
      <c r="I323" s="7">
        <v>0.2</v>
      </c>
      <c r="J323" s="125">
        <v>1</v>
      </c>
      <c r="K323" s="7"/>
      <c r="L323" s="7">
        <f t="shared" si="39"/>
        <v>0.84000000000000008</v>
      </c>
      <c r="M323" s="111"/>
      <c r="N323" s="111"/>
      <c r="O323" s="111"/>
      <c r="P323" s="111"/>
    </row>
    <row r="324" spans="1:16" s="104" customFormat="1" x14ac:dyDescent="0.2">
      <c r="A324" s="98"/>
      <c r="B324" s="105"/>
      <c r="C324" s="114"/>
      <c r="D324" s="131" t="s">
        <v>49</v>
      </c>
      <c r="E324" s="124" t="s">
        <v>0</v>
      </c>
      <c r="F324" s="5">
        <v>1</v>
      </c>
      <c r="G324" s="6">
        <v>6.7</v>
      </c>
      <c r="H324" s="6"/>
      <c r="I324" s="7">
        <v>0.2</v>
      </c>
      <c r="J324" s="125">
        <v>1</v>
      </c>
      <c r="K324" s="7"/>
      <c r="L324" s="7">
        <f t="shared" si="39"/>
        <v>1.34</v>
      </c>
      <c r="M324" s="111"/>
      <c r="N324" s="111"/>
      <c r="O324" s="111"/>
      <c r="P324" s="111"/>
    </row>
    <row r="325" spans="1:16" s="104" customFormat="1" x14ac:dyDescent="0.2">
      <c r="A325" s="98"/>
      <c r="B325" s="105"/>
      <c r="C325" s="114"/>
      <c r="D325" s="115" t="s">
        <v>50</v>
      </c>
      <c r="E325" s="116"/>
      <c r="F325" s="109"/>
      <c r="G325" s="110"/>
      <c r="H325" s="110"/>
      <c r="I325" s="111"/>
      <c r="J325" s="112"/>
      <c r="K325" s="111"/>
      <c r="L325" s="111"/>
      <c r="M325" s="111"/>
      <c r="N325" s="111"/>
      <c r="O325" s="111"/>
      <c r="P325" s="111"/>
    </row>
    <row r="326" spans="1:16" s="104" customFormat="1" x14ac:dyDescent="0.2">
      <c r="A326" s="98"/>
      <c r="B326" s="105"/>
      <c r="C326" s="114"/>
      <c r="D326" s="4" t="s">
        <v>53</v>
      </c>
      <c r="E326" s="124" t="s">
        <v>0</v>
      </c>
      <c r="F326" s="5">
        <v>1</v>
      </c>
      <c r="G326" s="6">
        <v>8.4600000000000009</v>
      </c>
      <c r="H326" s="6"/>
      <c r="I326" s="7">
        <v>0.2</v>
      </c>
      <c r="J326" s="125">
        <v>1</v>
      </c>
      <c r="K326" s="7"/>
      <c r="L326" s="7">
        <f t="shared" ref="L326:L330" si="40">F326*G326*I326*J326</f>
        <v>1.6920000000000002</v>
      </c>
      <c r="M326" s="111"/>
      <c r="N326" s="111"/>
      <c r="O326" s="111"/>
      <c r="P326" s="111"/>
    </row>
    <row r="327" spans="1:16" s="104" customFormat="1" x14ac:dyDescent="0.2">
      <c r="A327" s="98"/>
      <c r="B327" s="105"/>
      <c r="C327" s="114"/>
      <c r="D327" s="4" t="s">
        <v>46</v>
      </c>
      <c r="E327" s="124" t="s">
        <v>0</v>
      </c>
      <c r="F327" s="5">
        <v>1</v>
      </c>
      <c r="G327" s="6">
        <v>4.2</v>
      </c>
      <c r="H327" s="6"/>
      <c r="I327" s="7">
        <v>0.2</v>
      </c>
      <c r="J327" s="125">
        <v>1</v>
      </c>
      <c r="K327" s="7"/>
      <c r="L327" s="7">
        <f t="shared" si="40"/>
        <v>0.84000000000000008</v>
      </c>
      <c r="M327" s="111"/>
      <c r="N327" s="111"/>
      <c r="O327" s="111"/>
      <c r="P327" s="111"/>
    </row>
    <row r="328" spans="1:16" s="104" customFormat="1" x14ac:dyDescent="0.2">
      <c r="A328" s="98"/>
      <c r="B328" s="105"/>
      <c r="C328" s="114"/>
      <c r="D328" s="4" t="s">
        <v>47</v>
      </c>
      <c r="E328" s="124" t="s">
        <v>0</v>
      </c>
      <c r="F328" s="5">
        <v>1</v>
      </c>
      <c r="G328" s="6">
        <f>0.22+0.44+0.4+0.43+0.4+0.44+0.4+0.43+0.4+0.43+0.4+0.43+0.4+0.43+0.4+0.43+0.22</f>
        <v>6.7</v>
      </c>
      <c r="H328" s="6"/>
      <c r="I328" s="7">
        <v>0.2</v>
      </c>
      <c r="J328" s="125">
        <v>1</v>
      </c>
      <c r="K328" s="7"/>
      <c r="L328" s="7">
        <f t="shared" si="40"/>
        <v>1.34</v>
      </c>
      <c r="M328" s="111"/>
      <c r="N328" s="111"/>
      <c r="O328" s="111"/>
      <c r="P328" s="111"/>
    </row>
    <row r="329" spans="1:16" s="104" customFormat="1" x14ac:dyDescent="0.2">
      <c r="A329" s="98"/>
      <c r="B329" s="105"/>
      <c r="C329" s="114"/>
      <c r="D329" s="4" t="s">
        <v>48</v>
      </c>
      <c r="E329" s="124" t="s">
        <v>0</v>
      </c>
      <c r="F329" s="5">
        <v>1</v>
      </c>
      <c r="G329" s="6">
        <v>4.2</v>
      </c>
      <c r="H329" s="6"/>
      <c r="I329" s="7">
        <v>0.2</v>
      </c>
      <c r="J329" s="125">
        <v>1</v>
      </c>
      <c r="K329" s="7"/>
      <c r="L329" s="7">
        <f t="shared" si="40"/>
        <v>0.84000000000000008</v>
      </c>
      <c r="M329" s="111"/>
      <c r="N329" s="111"/>
      <c r="O329" s="111"/>
      <c r="P329" s="111"/>
    </row>
    <row r="330" spans="1:16" s="104" customFormat="1" x14ac:dyDescent="0.2">
      <c r="A330" s="98"/>
      <c r="B330" s="105"/>
      <c r="C330" s="114"/>
      <c r="D330" s="4" t="s">
        <v>49</v>
      </c>
      <c r="E330" s="124" t="s">
        <v>0</v>
      </c>
      <c r="F330" s="5">
        <v>1</v>
      </c>
      <c r="G330" s="6">
        <v>6.7</v>
      </c>
      <c r="H330" s="6"/>
      <c r="I330" s="7">
        <v>0.2</v>
      </c>
      <c r="J330" s="125">
        <v>1</v>
      </c>
      <c r="K330" s="7"/>
      <c r="L330" s="7">
        <f t="shared" si="40"/>
        <v>1.34</v>
      </c>
      <c r="M330" s="111"/>
      <c r="N330" s="111"/>
      <c r="O330" s="111"/>
      <c r="P330" s="111"/>
    </row>
    <row r="331" spans="1:16" s="104" customFormat="1" x14ac:dyDescent="0.2">
      <c r="A331" s="98"/>
      <c r="B331" s="105"/>
      <c r="C331" s="114"/>
      <c r="D331" s="115" t="s">
        <v>69</v>
      </c>
      <c r="E331" s="116"/>
      <c r="F331" s="109"/>
      <c r="G331" s="110"/>
      <c r="H331" s="110"/>
      <c r="I331" s="111"/>
      <c r="J331" s="112"/>
      <c r="K331" s="111"/>
      <c r="L331" s="111"/>
      <c r="M331" s="111"/>
      <c r="N331" s="111"/>
      <c r="O331" s="111"/>
      <c r="P331" s="111"/>
    </row>
    <row r="332" spans="1:16" s="104" customFormat="1" x14ac:dyDescent="0.2">
      <c r="A332" s="98"/>
      <c r="B332" s="105"/>
      <c r="C332" s="114"/>
      <c r="D332" s="4" t="s">
        <v>53</v>
      </c>
      <c r="E332" s="124" t="s">
        <v>0</v>
      </c>
      <c r="F332" s="5">
        <v>1</v>
      </c>
      <c r="G332" s="6">
        <v>7.65</v>
      </c>
      <c r="H332" s="6"/>
      <c r="I332" s="7">
        <v>1</v>
      </c>
      <c r="J332" s="125">
        <v>1</v>
      </c>
      <c r="K332" s="7"/>
      <c r="L332" s="7">
        <f t="shared" ref="L332:L336" si="41">F332*G332*I332*J332</f>
        <v>7.65</v>
      </c>
      <c r="M332" s="111"/>
      <c r="N332" s="111"/>
      <c r="O332" s="111"/>
      <c r="P332" s="111"/>
    </row>
    <row r="333" spans="1:16" s="104" customFormat="1" x14ac:dyDescent="0.2">
      <c r="A333" s="98"/>
      <c r="B333" s="105"/>
      <c r="C333" s="114"/>
      <c r="D333" s="4" t="s">
        <v>46</v>
      </c>
      <c r="E333" s="124" t="s">
        <v>0</v>
      </c>
      <c r="F333" s="5">
        <v>1</v>
      </c>
      <c r="G333" s="6">
        <v>3.8</v>
      </c>
      <c r="H333" s="6"/>
      <c r="I333" s="7">
        <v>1</v>
      </c>
      <c r="J333" s="125">
        <v>1</v>
      </c>
      <c r="K333" s="7"/>
      <c r="L333" s="7">
        <f t="shared" si="41"/>
        <v>3.8</v>
      </c>
      <c r="M333" s="111"/>
      <c r="N333" s="111"/>
      <c r="O333" s="111"/>
      <c r="P333" s="111"/>
    </row>
    <row r="334" spans="1:16" s="104" customFormat="1" x14ac:dyDescent="0.2">
      <c r="A334" s="98"/>
      <c r="B334" s="105"/>
      <c r="C334" s="114"/>
      <c r="D334" s="4" t="s">
        <v>47</v>
      </c>
      <c r="E334" s="124" t="s">
        <v>0</v>
      </c>
      <c r="F334" s="5">
        <v>1</v>
      </c>
      <c r="G334" s="6">
        <v>6</v>
      </c>
      <c r="H334" s="6"/>
      <c r="I334" s="7">
        <v>1</v>
      </c>
      <c r="J334" s="125">
        <v>1</v>
      </c>
      <c r="K334" s="7"/>
      <c r="L334" s="7">
        <f t="shared" si="41"/>
        <v>6</v>
      </c>
      <c r="M334" s="111"/>
      <c r="N334" s="111"/>
      <c r="O334" s="111"/>
      <c r="P334" s="111"/>
    </row>
    <row r="335" spans="1:16" s="104" customFormat="1" x14ac:dyDescent="0.2">
      <c r="A335" s="98"/>
      <c r="B335" s="105"/>
      <c r="C335" s="114"/>
      <c r="D335" s="4" t="s">
        <v>48</v>
      </c>
      <c r="E335" s="124" t="s">
        <v>0</v>
      </c>
      <c r="F335" s="5">
        <v>1</v>
      </c>
      <c r="G335" s="6">
        <v>3.8</v>
      </c>
      <c r="H335" s="6"/>
      <c r="I335" s="7">
        <v>1</v>
      </c>
      <c r="J335" s="125">
        <v>1</v>
      </c>
      <c r="K335" s="7"/>
      <c r="L335" s="7">
        <f t="shared" si="41"/>
        <v>3.8</v>
      </c>
      <c r="M335" s="111"/>
      <c r="N335" s="111"/>
      <c r="O335" s="111"/>
      <c r="P335" s="111"/>
    </row>
    <row r="336" spans="1:16" s="104" customFormat="1" x14ac:dyDescent="0.2">
      <c r="A336" s="98"/>
      <c r="B336" s="105"/>
      <c r="C336" s="114"/>
      <c r="D336" s="4" t="s">
        <v>49</v>
      </c>
      <c r="E336" s="124" t="s">
        <v>0</v>
      </c>
      <c r="F336" s="5">
        <v>1</v>
      </c>
      <c r="G336" s="6">
        <v>6</v>
      </c>
      <c r="H336" s="6"/>
      <c r="I336" s="7">
        <v>1</v>
      </c>
      <c r="J336" s="125">
        <v>1</v>
      </c>
      <c r="K336" s="7"/>
      <c r="L336" s="7">
        <f t="shared" si="41"/>
        <v>6</v>
      </c>
      <c r="M336" s="111"/>
      <c r="N336" s="111"/>
      <c r="O336" s="111"/>
      <c r="P336" s="111"/>
    </row>
    <row r="337" spans="1:16" s="104" customFormat="1" x14ac:dyDescent="0.2">
      <c r="A337" s="98"/>
      <c r="B337" s="105"/>
      <c r="C337" s="106"/>
      <c r="D337" s="115" t="s">
        <v>85</v>
      </c>
      <c r="E337" s="116"/>
      <c r="F337" s="109"/>
      <c r="G337" s="110"/>
      <c r="H337" s="110"/>
      <c r="I337" s="111"/>
      <c r="J337" s="112"/>
      <c r="K337" s="111"/>
      <c r="L337" s="111"/>
      <c r="M337" s="113"/>
      <c r="N337" s="113"/>
      <c r="O337" s="113"/>
      <c r="P337" s="113"/>
    </row>
    <row r="338" spans="1:16" s="104" customFormat="1" x14ac:dyDescent="0.2">
      <c r="A338" s="98"/>
      <c r="B338" s="105"/>
      <c r="C338" s="106"/>
      <c r="D338" s="4" t="s">
        <v>53</v>
      </c>
      <c r="E338" s="124" t="s">
        <v>0</v>
      </c>
      <c r="F338" s="5">
        <v>1</v>
      </c>
      <c r="G338" s="6">
        <v>8.4600000000000009</v>
      </c>
      <c r="H338" s="6"/>
      <c r="I338" s="7">
        <v>0.2</v>
      </c>
      <c r="J338" s="125">
        <v>1</v>
      </c>
      <c r="K338" s="7"/>
      <c r="L338" s="7">
        <f t="shared" ref="L338:L342" si="42">F338*G338*I338*J338</f>
        <v>1.6920000000000002</v>
      </c>
      <c r="M338" s="113"/>
      <c r="N338" s="113"/>
      <c r="O338" s="113"/>
      <c r="P338" s="113"/>
    </row>
    <row r="339" spans="1:16" s="104" customFormat="1" x14ac:dyDescent="0.2">
      <c r="A339" s="98"/>
      <c r="B339" s="105"/>
      <c r="C339" s="114"/>
      <c r="D339" s="4" t="s">
        <v>46</v>
      </c>
      <c r="E339" s="124" t="s">
        <v>0</v>
      </c>
      <c r="F339" s="5">
        <v>1</v>
      </c>
      <c r="G339" s="6">
        <v>4.2</v>
      </c>
      <c r="H339" s="6"/>
      <c r="I339" s="7">
        <v>0.2</v>
      </c>
      <c r="J339" s="125">
        <v>1</v>
      </c>
      <c r="K339" s="7"/>
      <c r="L339" s="7">
        <f t="shared" si="42"/>
        <v>0.84000000000000008</v>
      </c>
      <c r="M339" s="111"/>
      <c r="N339" s="111"/>
      <c r="O339" s="111"/>
      <c r="P339" s="111"/>
    </row>
    <row r="340" spans="1:16" s="104" customFormat="1" x14ac:dyDescent="0.2">
      <c r="A340" s="98"/>
      <c r="B340" s="105"/>
      <c r="C340" s="114"/>
      <c r="D340" s="4" t="s">
        <v>47</v>
      </c>
      <c r="E340" s="124" t="s">
        <v>0</v>
      </c>
      <c r="F340" s="5">
        <v>1</v>
      </c>
      <c r="G340" s="6">
        <f>0.22+0.44+0.4+0.43+0.4+0.44+0.4+0.43+0.4+0.43+0.4+0.43+0.4+0.43+0.4+0.43+0.22</f>
        <v>6.7</v>
      </c>
      <c r="H340" s="6"/>
      <c r="I340" s="7">
        <v>0.2</v>
      </c>
      <c r="J340" s="125">
        <v>1</v>
      </c>
      <c r="K340" s="7"/>
      <c r="L340" s="7">
        <f t="shared" si="42"/>
        <v>1.34</v>
      </c>
      <c r="M340" s="111"/>
      <c r="N340" s="111"/>
      <c r="O340" s="111"/>
      <c r="P340" s="111"/>
    </row>
    <row r="341" spans="1:16" s="104" customFormat="1" x14ac:dyDescent="0.2">
      <c r="A341" s="98"/>
      <c r="B341" s="105"/>
      <c r="C341" s="114"/>
      <c r="D341" s="4" t="s">
        <v>48</v>
      </c>
      <c r="E341" s="124" t="s">
        <v>0</v>
      </c>
      <c r="F341" s="5">
        <v>1</v>
      </c>
      <c r="G341" s="6">
        <v>4.2</v>
      </c>
      <c r="H341" s="6"/>
      <c r="I341" s="7">
        <v>0.2</v>
      </c>
      <c r="J341" s="125">
        <v>1</v>
      </c>
      <c r="K341" s="7"/>
      <c r="L341" s="7">
        <f t="shared" si="42"/>
        <v>0.84000000000000008</v>
      </c>
      <c r="M341" s="111"/>
      <c r="N341" s="111"/>
      <c r="O341" s="111"/>
      <c r="P341" s="111"/>
    </row>
    <row r="342" spans="1:16" s="104" customFormat="1" x14ac:dyDescent="0.2">
      <c r="A342" s="98"/>
      <c r="B342" s="105"/>
      <c r="C342" s="114"/>
      <c r="D342" s="4" t="s">
        <v>49</v>
      </c>
      <c r="E342" s="124" t="s">
        <v>0</v>
      </c>
      <c r="F342" s="5">
        <v>1</v>
      </c>
      <c r="G342" s="6">
        <v>6.7</v>
      </c>
      <c r="H342" s="6"/>
      <c r="I342" s="7">
        <v>0.2</v>
      </c>
      <c r="J342" s="125">
        <v>1</v>
      </c>
      <c r="K342" s="7"/>
      <c r="L342" s="7">
        <f t="shared" si="42"/>
        <v>1.34</v>
      </c>
      <c r="M342" s="111"/>
      <c r="N342" s="111"/>
      <c r="O342" s="111"/>
      <c r="P342" s="111"/>
    </row>
    <row r="343" spans="1:16" s="104" customFormat="1" x14ac:dyDescent="0.2">
      <c r="A343" s="98"/>
      <c r="B343" s="105"/>
      <c r="C343" s="114"/>
      <c r="D343" s="115" t="s">
        <v>52</v>
      </c>
      <c r="E343" s="116"/>
      <c r="F343" s="109"/>
      <c r="G343" s="110"/>
      <c r="H343" s="110"/>
      <c r="I343" s="111"/>
      <c r="J343" s="112"/>
      <c r="K343" s="111"/>
      <c r="L343" s="111"/>
      <c r="M343" s="111"/>
      <c r="N343" s="111"/>
      <c r="O343" s="111"/>
      <c r="P343" s="111"/>
    </row>
    <row r="344" spans="1:16" s="104" customFormat="1" x14ac:dyDescent="0.2">
      <c r="A344" s="98"/>
      <c r="B344" s="105"/>
      <c r="C344" s="114"/>
      <c r="D344" s="4" t="s">
        <v>86</v>
      </c>
      <c r="E344" s="124" t="s">
        <v>0</v>
      </c>
      <c r="F344" s="5">
        <v>1</v>
      </c>
      <c r="G344" s="6">
        <v>30.12</v>
      </c>
      <c r="H344" s="6"/>
      <c r="I344" s="7">
        <v>7.0000000000000007E-2</v>
      </c>
      <c r="J344" s="125">
        <v>1</v>
      </c>
      <c r="K344" s="7"/>
      <c r="L344" s="7">
        <f t="shared" ref="L344" si="43">F344*G344*I344*J344</f>
        <v>2.1084000000000001</v>
      </c>
      <c r="M344" s="111"/>
      <c r="N344" s="111"/>
      <c r="O344" s="111"/>
      <c r="P344" s="111"/>
    </row>
    <row r="345" spans="1:16" s="104" customFormat="1" x14ac:dyDescent="0.2">
      <c r="A345" s="98"/>
      <c r="B345" s="105"/>
      <c r="C345" s="114"/>
      <c r="D345" s="117"/>
      <c r="E345" s="116"/>
      <c r="F345" s="109"/>
      <c r="G345" s="110"/>
      <c r="H345" s="110"/>
      <c r="I345" s="111"/>
      <c r="J345" s="112"/>
      <c r="K345" s="111"/>
      <c r="L345" s="111"/>
      <c r="M345" s="111"/>
      <c r="N345" s="111"/>
      <c r="O345" s="111"/>
      <c r="P345" s="111"/>
    </row>
    <row r="346" spans="1:16" s="104" customFormat="1" x14ac:dyDescent="0.2">
      <c r="A346" s="98"/>
      <c r="B346" s="105"/>
      <c r="C346" s="114"/>
      <c r="D346" s="123" t="s">
        <v>84</v>
      </c>
      <c r="E346" s="101"/>
      <c r="F346" s="1"/>
      <c r="G346" s="2"/>
      <c r="H346" s="2"/>
      <c r="I346" s="2"/>
      <c r="J346" s="102"/>
      <c r="K346" s="103"/>
      <c r="L346" s="103"/>
      <c r="M346" s="111"/>
      <c r="N346" s="111"/>
      <c r="O346" s="111"/>
      <c r="P346" s="111"/>
    </row>
    <row r="347" spans="1:16" s="104" customFormat="1" x14ac:dyDescent="0.2">
      <c r="A347" s="98"/>
      <c r="B347" s="105"/>
      <c r="C347" s="114"/>
      <c r="D347" s="115" t="s">
        <v>68</v>
      </c>
      <c r="E347" s="116"/>
      <c r="F347" s="109"/>
      <c r="G347" s="110"/>
      <c r="H347" s="110"/>
      <c r="I347" s="111"/>
      <c r="J347" s="112"/>
      <c r="K347" s="111"/>
      <c r="L347" s="111"/>
      <c r="M347" s="111"/>
      <c r="N347" s="111"/>
      <c r="O347" s="111"/>
      <c r="P347" s="111"/>
    </row>
    <row r="348" spans="1:16" s="104" customFormat="1" x14ac:dyDescent="0.2">
      <c r="A348" s="98"/>
      <c r="B348" s="105"/>
      <c r="C348" s="114"/>
      <c r="D348" s="4" t="s">
        <v>53</v>
      </c>
      <c r="E348" s="124" t="s">
        <v>0</v>
      </c>
      <c r="F348" s="5">
        <v>1</v>
      </c>
      <c r="G348" s="6">
        <v>8.4600000000000009</v>
      </c>
      <c r="H348" s="6"/>
      <c r="I348" s="7">
        <v>0.2</v>
      </c>
      <c r="J348" s="125">
        <v>1</v>
      </c>
      <c r="K348" s="7"/>
      <c r="L348" s="7">
        <f t="shared" ref="L348:L352" si="44">F348*G348*I348*J348</f>
        <v>1.6920000000000002</v>
      </c>
      <c r="M348" s="111"/>
      <c r="N348" s="111"/>
      <c r="O348" s="111"/>
      <c r="P348" s="111"/>
    </row>
    <row r="349" spans="1:16" s="104" customFormat="1" x14ac:dyDescent="0.2">
      <c r="A349" s="98"/>
      <c r="B349" s="105"/>
      <c r="C349" s="114"/>
      <c r="D349" s="4" t="s">
        <v>46</v>
      </c>
      <c r="E349" s="124" t="s">
        <v>0</v>
      </c>
      <c r="F349" s="5">
        <v>1</v>
      </c>
      <c r="G349" s="6">
        <v>4.2</v>
      </c>
      <c r="H349" s="6"/>
      <c r="I349" s="7">
        <v>0.2</v>
      </c>
      <c r="J349" s="125">
        <v>1</v>
      </c>
      <c r="K349" s="7"/>
      <c r="L349" s="7">
        <f t="shared" si="44"/>
        <v>0.84000000000000008</v>
      </c>
      <c r="M349" s="111"/>
      <c r="N349" s="111"/>
      <c r="O349" s="111"/>
      <c r="P349" s="111"/>
    </row>
    <row r="350" spans="1:16" s="104" customFormat="1" x14ac:dyDescent="0.2">
      <c r="A350" s="98"/>
      <c r="B350" s="105"/>
      <c r="C350" s="114"/>
      <c r="D350" s="131" t="s">
        <v>47</v>
      </c>
      <c r="E350" s="124" t="s">
        <v>0</v>
      </c>
      <c r="F350" s="5">
        <v>1</v>
      </c>
      <c r="G350" s="6">
        <v>7.11</v>
      </c>
      <c r="H350" s="6"/>
      <c r="I350" s="7">
        <v>0.2</v>
      </c>
      <c r="J350" s="125">
        <v>1</v>
      </c>
      <c r="K350" s="7"/>
      <c r="L350" s="7">
        <f t="shared" si="44"/>
        <v>1.4220000000000002</v>
      </c>
      <c r="M350" s="111"/>
      <c r="N350" s="111"/>
      <c r="O350" s="111"/>
      <c r="P350" s="111"/>
    </row>
    <row r="351" spans="1:16" s="104" customFormat="1" x14ac:dyDescent="0.2">
      <c r="A351" s="98"/>
      <c r="B351" s="105"/>
      <c r="C351" s="114"/>
      <c r="D351" s="4" t="s">
        <v>48</v>
      </c>
      <c r="E351" s="124" t="s">
        <v>0</v>
      </c>
      <c r="F351" s="5">
        <v>1</v>
      </c>
      <c r="G351" s="6">
        <v>4.2</v>
      </c>
      <c r="H351" s="6"/>
      <c r="I351" s="7">
        <v>0.2</v>
      </c>
      <c r="J351" s="125">
        <v>1</v>
      </c>
      <c r="K351" s="7"/>
      <c r="L351" s="7">
        <f t="shared" si="44"/>
        <v>0.84000000000000008</v>
      </c>
      <c r="M351" s="111"/>
      <c r="N351" s="111"/>
      <c r="O351" s="111"/>
      <c r="P351" s="111"/>
    </row>
    <row r="352" spans="1:16" s="104" customFormat="1" x14ac:dyDescent="0.2">
      <c r="A352" s="98"/>
      <c r="B352" s="105"/>
      <c r="C352" s="114"/>
      <c r="D352" s="131" t="s">
        <v>49</v>
      </c>
      <c r="E352" s="124" t="s">
        <v>0</v>
      </c>
      <c r="F352" s="5">
        <v>1</v>
      </c>
      <c r="G352" s="6">
        <v>7.11</v>
      </c>
      <c r="H352" s="6"/>
      <c r="I352" s="7">
        <v>0.2</v>
      </c>
      <c r="J352" s="125">
        <v>1</v>
      </c>
      <c r="K352" s="7"/>
      <c r="L352" s="7">
        <f t="shared" si="44"/>
        <v>1.4220000000000002</v>
      </c>
      <c r="M352" s="111"/>
      <c r="N352" s="111"/>
      <c r="O352" s="111"/>
      <c r="P352" s="111"/>
    </row>
    <row r="353" spans="1:16" s="104" customFormat="1" x14ac:dyDescent="0.2">
      <c r="A353" s="98"/>
      <c r="B353" s="105"/>
      <c r="C353" s="114"/>
      <c r="D353" s="115" t="s">
        <v>44</v>
      </c>
      <c r="E353" s="116"/>
      <c r="F353" s="109"/>
      <c r="G353" s="110"/>
      <c r="H353" s="110"/>
      <c r="I353" s="111"/>
      <c r="J353" s="112"/>
      <c r="K353" s="111"/>
      <c r="L353" s="111"/>
      <c r="M353" s="111"/>
      <c r="N353" s="111"/>
      <c r="O353" s="111"/>
      <c r="P353" s="111"/>
    </row>
    <row r="354" spans="1:16" s="104" customFormat="1" x14ac:dyDescent="0.2">
      <c r="A354" s="98"/>
      <c r="B354" s="105"/>
      <c r="C354" s="114"/>
      <c r="D354" s="4" t="s">
        <v>53</v>
      </c>
      <c r="E354" s="124" t="s">
        <v>0</v>
      </c>
      <c r="F354" s="5">
        <v>1</v>
      </c>
      <c r="G354" s="6">
        <v>8.4600000000000009</v>
      </c>
      <c r="H354" s="6"/>
      <c r="I354" s="7">
        <v>0.2</v>
      </c>
      <c r="J354" s="125">
        <v>1</v>
      </c>
      <c r="K354" s="7"/>
      <c r="L354" s="7">
        <f t="shared" ref="L354:L358" si="45">F354*G354*I354*J354</f>
        <v>1.6920000000000002</v>
      </c>
      <c r="M354" s="111"/>
      <c r="N354" s="111"/>
      <c r="O354" s="111"/>
      <c r="P354" s="111"/>
    </row>
    <row r="355" spans="1:16" s="104" customFormat="1" x14ac:dyDescent="0.2">
      <c r="A355" s="98"/>
      <c r="B355" s="105"/>
      <c r="C355" s="114"/>
      <c r="D355" s="4" t="s">
        <v>46</v>
      </c>
      <c r="E355" s="124" t="s">
        <v>0</v>
      </c>
      <c r="F355" s="5">
        <v>1</v>
      </c>
      <c r="G355" s="6">
        <v>4.2</v>
      </c>
      <c r="H355" s="6"/>
      <c r="I355" s="7">
        <v>0.2</v>
      </c>
      <c r="J355" s="125">
        <v>1</v>
      </c>
      <c r="K355" s="7"/>
      <c r="L355" s="7">
        <f t="shared" si="45"/>
        <v>0.84000000000000008</v>
      </c>
      <c r="M355" s="111"/>
      <c r="N355" s="111"/>
      <c r="O355" s="111"/>
      <c r="P355" s="111"/>
    </row>
    <row r="356" spans="1:16" s="104" customFormat="1" x14ac:dyDescent="0.2">
      <c r="A356" s="98"/>
      <c r="B356" s="105"/>
      <c r="C356" s="114"/>
      <c r="D356" s="131" t="s">
        <v>47</v>
      </c>
      <c r="E356" s="124" t="s">
        <v>0</v>
      </c>
      <c r="F356" s="5">
        <v>1</v>
      </c>
      <c r="G356" s="6">
        <v>7.11</v>
      </c>
      <c r="H356" s="6"/>
      <c r="I356" s="7">
        <v>0.2</v>
      </c>
      <c r="J356" s="125">
        <v>1</v>
      </c>
      <c r="K356" s="7"/>
      <c r="L356" s="7">
        <f t="shared" si="45"/>
        <v>1.4220000000000002</v>
      </c>
      <c r="M356" s="111"/>
      <c r="N356" s="111"/>
      <c r="O356" s="111"/>
      <c r="P356" s="111"/>
    </row>
    <row r="357" spans="1:16" s="104" customFormat="1" x14ac:dyDescent="0.2">
      <c r="A357" s="98"/>
      <c r="B357" s="105"/>
      <c r="C357" s="114"/>
      <c r="D357" s="4" t="s">
        <v>48</v>
      </c>
      <c r="E357" s="124" t="s">
        <v>0</v>
      </c>
      <c r="F357" s="5">
        <v>1</v>
      </c>
      <c r="G357" s="6">
        <v>4.2</v>
      </c>
      <c r="H357" s="6"/>
      <c r="I357" s="7">
        <v>0.2</v>
      </c>
      <c r="J357" s="125">
        <v>1</v>
      </c>
      <c r="K357" s="7"/>
      <c r="L357" s="7">
        <f t="shared" si="45"/>
        <v>0.84000000000000008</v>
      </c>
      <c r="M357" s="111"/>
      <c r="N357" s="111"/>
      <c r="O357" s="111"/>
      <c r="P357" s="111"/>
    </row>
    <row r="358" spans="1:16" s="104" customFormat="1" x14ac:dyDescent="0.2">
      <c r="A358" s="98"/>
      <c r="B358" s="105"/>
      <c r="C358" s="114"/>
      <c r="D358" s="131" t="s">
        <v>49</v>
      </c>
      <c r="E358" s="124" t="s">
        <v>0</v>
      </c>
      <c r="F358" s="5">
        <v>1</v>
      </c>
      <c r="G358" s="6">
        <v>7.11</v>
      </c>
      <c r="H358" s="6"/>
      <c r="I358" s="7">
        <v>0.2</v>
      </c>
      <c r="J358" s="125">
        <v>1</v>
      </c>
      <c r="K358" s="7"/>
      <c r="L358" s="7">
        <f t="shared" si="45"/>
        <v>1.4220000000000002</v>
      </c>
      <c r="M358" s="111"/>
      <c r="N358" s="111"/>
      <c r="O358" s="111"/>
      <c r="P358" s="111"/>
    </row>
    <row r="359" spans="1:16" s="104" customFormat="1" x14ac:dyDescent="0.2">
      <c r="A359" s="98"/>
      <c r="B359" s="105"/>
      <c r="C359" s="114"/>
      <c r="D359" s="115" t="s">
        <v>45</v>
      </c>
      <c r="E359" s="116"/>
      <c r="F359" s="109"/>
      <c r="G359" s="110"/>
      <c r="H359" s="110"/>
      <c r="I359" s="111"/>
      <c r="J359" s="112"/>
      <c r="K359" s="111"/>
      <c r="L359" s="111"/>
      <c r="M359" s="111"/>
      <c r="N359" s="111"/>
      <c r="O359" s="111"/>
      <c r="P359" s="111"/>
    </row>
    <row r="360" spans="1:16" s="104" customFormat="1" x14ac:dyDescent="0.2">
      <c r="A360" s="98"/>
      <c r="B360" s="105"/>
      <c r="C360" s="114"/>
      <c r="D360" s="4" t="s">
        <v>53</v>
      </c>
      <c r="E360" s="124" t="s">
        <v>0</v>
      </c>
      <c r="F360" s="5">
        <v>1</v>
      </c>
      <c r="G360" s="6">
        <v>8.4600000000000009</v>
      </c>
      <c r="H360" s="6"/>
      <c r="I360" s="7">
        <v>0.2</v>
      </c>
      <c r="J360" s="125">
        <v>1</v>
      </c>
      <c r="K360" s="7"/>
      <c r="L360" s="7">
        <f t="shared" ref="L360:L364" si="46">F360*G360*I360*J360</f>
        <v>1.6920000000000002</v>
      </c>
      <c r="M360" s="111"/>
      <c r="N360" s="111"/>
      <c r="O360" s="111"/>
      <c r="P360" s="111"/>
    </row>
    <row r="361" spans="1:16" s="104" customFormat="1" x14ac:dyDescent="0.2">
      <c r="A361" s="98"/>
      <c r="B361" s="105"/>
      <c r="C361" s="114"/>
      <c r="D361" s="4" t="s">
        <v>46</v>
      </c>
      <c r="E361" s="124" t="s">
        <v>0</v>
      </c>
      <c r="F361" s="5">
        <v>1</v>
      </c>
      <c r="G361" s="6">
        <v>4.2</v>
      </c>
      <c r="H361" s="6"/>
      <c r="I361" s="7">
        <v>0.2</v>
      </c>
      <c r="J361" s="125">
        <v>1</v>
      </c>
      <c r="K361" s="7"/>
      <c r="L361" s="7">
        <f t="shared" si="46"/>
        <v>0.84000000000000008</v>
      </c>
      <c r="M361" s="111"/>
      <c r="N361" s="111"/>
      <c r="O361" s="111"/>
      <c r="P361" s="111"/>
    </row>
    <row r="362" spans="1:16" s="104" customFormat="1" x14ac:dyDescent="0.2">
      <c r="A362" s="98"/>
      <c r="B362" s="105"/>
      <c r="C362" s="114"/>
      <c r="D362" s="131" t="s">
        <v>47</v>
      </c>
      <c r="E362" s="124" t="s">
        <v>0</v>
      </c>
      <c r="F362" s="5">
        <v>1</v>
      </c>
      <c r="G362" s="6">
        <v>7.11</v>
      </c>
      <c r="H362" s="6"/>
      <c r="I362" s="7">
        <v>0.2</v>
      </c>
      <c r="J362" s="125">
        <v>1</v>
      </c>
      <c r="K362" s="7"/>
      <c r="L362" s="7">
        <f t="shared" si="46"/>
        <v>1.4220000000000002</v>
      </c>
      <c r="M362" s="111"/>
      <c r="N362" s="111"/>
      <c r="O362" s="111"/>
      <c r="P362" s="111"/>
    </row>
    <row r="363" spans="1:16" s="104" customFormat="1" x14ac:dyDescent="0.2">
      <c r="A363" s="98"/>
      <c r="B363" s="105"/>
      <c r="C363" s="114"/>
      <c r="D363" s="4" t="s">
        <v>48</v>
      </c>
      <c r="E363" s="124" t="s">
        <v>0</v>
      </c>
      <c r="F363" s="5">
        <v>1</v>
      </c>
      <c r="G363" s="6">
        <v>4.2</v>
      </c>
      <c r="H363" s="6"/>
      <c r="I363" s="7">
        <v>0.2</v>
      </c>
      <c r="J363" s="125">
        <v>1</v>
      </c>
      <c r="K363" s="7"/>
      <c r="L363" s="7">
        <f t="shared" si="46"/>
        <v>0.84000000000000008</v>
      </c>
      <c r="M363" s="111"/>
      <c r="N363" s="111"/>
      <c r="O363" s="111"/>
      <c r="P363" s="111"/>
    </row>
    <row r="364" spans="1:16" s="104" customFormat="1" x14ac:dyDescent="0.2">
      <c r="A364" s="98"/>
      <c r="B364" s="105"/>
      <c r="C364" s="114"/>
      <c r="D364" s="131" t="s">
        <v>49</v>
      </c>
      <c r="E364" s="124" t="s">
        <v>0</v>
      </c>
      <c r="F364" s="5">
        <v>1</v>
      </c>
      <c r="G364" s="6">
        <v>7.11</v>
      </c>
      <c r="H364" s="6"/>
      <c r="I364" s="7">
        <v>0.2</v>
      </c>
      <c r="J364" s="125">
        <v>1</v>
      </c>
      <c r="K364" s="7"/>
      <c r="L364" s="7">
        <f t="shared" si="46"/>
        <v>1.4220000000000002</v>
      </c>
      <c r="M364" s="111"/>
      <c r="N364" s="111"/>
      <c r="O364" s="111"/>
      <c r="P364" s="111"/>
    </row>
    <row r="365" spans="1:16" s="104" customFormat="1" x14ac:dyDescent="0.2">
      <c r="A365" s="98"/>
      <c r="B365" s="105"/>
      <c r="C365" s="114"/>
      <c r="D365" s="115" t="s">
        <v>50</v>
      </c>
      <c r="E365" s="116"/>
      <c r="F365" s="109"/>
      <c r="G365" s="110"/>
      <c r="H365" s="110"/>
      <c r="I365" s="111"/>
      <c r="J365" s="112"/>
      <c r="K365" s="111"/>
      <c r="L365" s="111"/>
      <c r="M365" s="111"/>
      <c r="N365" s="111"/>
      <c r="O365" s="111"/>
      <c r="P365" s="111"/>
    </row>
    <row r="366" spans="1:16" s="104" customFormat="1" x14ac:dyDescent="0.2">
      <c r="A366" s="98"/>
      <c r="B366" s="105"/>
      <c r="C366" s="114"/>
      <c r="D366" s="4" t="s">
        <v>53</v>
      </c>
      <c r="E366" s="124" t="s">
        <v>0</v>
      </c>
      <c r="F366" s="5">
        <v>1</v>
      </c>
      <c r="G366" s="6">
        <v>8.4600000000000009</v>
      </c>
      <c r="H366" s="6"/>
      <c r="I366" s="7">
        <v>0.2</v>
      </c>
      <c r="J366" s="125">
        <v>1</v>
      </c>
      <c r="K366" s="7"/>
      <c r="L366" s="7">
        <f t="shared" ref="L366:L370" si="47">F366*G366*I366*J366</f>
        <v>1.6920000000000002</v>
      </c>
      <c r="M366" s="111"/>
      <c r="N366" s="111"/>
      <c r="O366" s="111"/>
      <c r="P366" s="111"/>
    </row>
    <row r="367" spans="1:16" s="104" customFormat="1" x14ac:dyDescent="0.2">
      <c r="A367" s="98"/>
      <c r="B367" s="105"/>
      <c r="C367" s="114"/>
      <c r="D367" s="4" t="s">
        <v>46</v>
      </c>
      <c r="E367" s="124" t="s">
        <v>0</v>
      </c>
      <c r="F367" s="5">
        <v>1</v>
      </c>
      <c r="G367" s="6">
        <v>4.2</v>
      </c>
      <c r="H367" s="6"/>
      <c r="I367" s="7">
        <v>0.2</v>
      </c>
      <c r="J367" s="125">
        <v>1</v>
      </c>
      <c r="K367" s="7"/>
      <c r="L367" s="7">
        <f t="shared" si="47"/>
        <v>0.84000000000000008</v>
      </c>
      <c r="M367" s="111"/>
      <c r="N367" s="111"/>
      <c r="O367" s="111"/>
      <c r="P367" s="111"/>
    </row>
    <row r="368" spans="1:16" s="104" customFormat="1" x14ac:dyDescent="0.2">
      <c r="A368" s="98"/>
      <c r="B368" s="105"/>
      <c r="C368" s="114"/>
      <c r="D368" s="4" t="s">
        <v>47</v>
      </c>
      <c r="E368" s="124" t="s">
        <v>0</v>
      </c>
      <c r="F368" s="5">
        <v>1</v>
      </c>
      <c r="G368" s="6">
        <v>7.11</v>
      </c>
      <c r="H368" s="6"/>
      <c r="I368" s="7">
        <v>0.2</v>
      </c>
      <c r="J368" s="125">
        <v>1</v>
      </c>
      <c r="K368" s="7"/>
      <c r="L368" s="7">
        <f t="shared" si="47"/>
        <v>1.4220000000000002</v>
      </c>
      <c r="M368" s="111"/>
      <c r="N368" s="111"/>
      <c r="O368" s="111"/>
      <c r="P368" s="111"/>
    </row>
    <row r="369" spans="1:16" s="104" customFormat="1" x14ac:dyDescent="0.2">
      <c r="A369" s="98"/>
      <c r="B369" s="105"/>
      <c r="C369" s="114"/>
      <c r="D369" s="4" t="s">
        <v>48</v>
      </c>
      <c r="E369" s="124" t="s">
        <v>0</v>
      </c>
      <c r="F369" s="5">
        <v>1</v>
      </c>
      <c r="G369" s="6">
        <v>4.2</v>
      </c>
      <c r="H369" s="6"/>
      <c r="I369" s="7">
        <v>0.2</v>
      </c>
      <c r="J369" s="125">
        <v>1</v>
      </c>
      <c r="K369" s="7"/>
      <c r="L369" s="7">
        <f t="shared" si="47"/>
        <v>0.84000000000000008</v>
      </c>
      <c r="M369" s="111"/>
      <c r="N369" s="111"/>
      <c r="O369" s="111"/>
      <c r="P369" s="111"/>
    </row>
    <row r="370" spans="1:16" s="104" customFormat="1" x14ac:dyDescent="0.2">
      <c r="A370" s="98"/>
      <c r="B370" s="105"/>
      <c r="C370" s="114"/>
      <c r="D370" s="4" t="s">
        <v>49</v>
      </c>
      <c r="E370" s="124" t="s">
        <v>0</v>
      </c>
      <c r="F370" s="5">
        <v>1</v>
      </c>
      <c r="G370" s="6">
        <v>7.11</v>
      </c>
      <c r="H370" s="6"/>
      <c r="I370" s="7">
        <v>0.2</v>
      </c>
      <c r="J370" s="125">
        <v>1</v>
      </c>
      <c r="K370" s="7"/>
      <c r="L370" s="7">
        <f t="shared" si="47"/>
        <v>1.4220000000000002</v>
      </c>
      <c r="M370" s="111"/>
      <c r="N370" s="111"/>
      <c r="O370" s="111"/>
      <c r="P370" s="111"/>
    </row>
    <row r="371" spans="1:16" s="104" customFormat="1" x14ac:dyDescent="0.2">
      <c r="A371" s="98"/>
      <c r="B371" s="105"/>
      <c r="C371" s="114"/>
      <c r="D371" s="115" t="s">
        <v>69</v>
      </c>
      <c r="E371" s="116"/>
      <c r="F371" s="109"/>
      <c r="G371" s="110"/>
      <c r="H371" s="110"/>
      <c r="I371" s="111"/>
      <c r="J371" s="112"/>
      <c r="K371" s="111"/>
      <c r="L371" s="111"/>
      <c r="M371" s="111"/>
      <c r="N371" s="111"/>
      <c r="O371" s="111"/>
      <c r="P371" s="111"/>
    </row>
    <row r="372" spans="1:16" s="104" customFormat="1" x14ac:dyDescent="0.2">
      <c r="A372" s="98"/>
      <c r="B372" s="105"/>
      <c r="C372" s="114"/>
      <c r="D372" s="4" t="s">
        <v>53</v>
      </c>
      <c r="E372" s="124" t="s">
        <v>0</v>
      </c>
      <c r="F372" s="5">
        <v>1</v>
      </c>
      <c r="G372" s="6">
        <v>8.4600000000000009</v>
      </c>
      <c r="H372" s="6"/>
      <c r="I372" s="7">
        <v>0.2</v>
      </c>
      <c r="J372" s="125">
        <v>1</v>
      </c>
      <c r="K372" s="7"/>
      <c r="L372" s="7">
        <f t="shared" ref="L372:L376" si="48">F372*G372*I372*J372</f>
        <v>1.6920000000000002</v>
      </c>
      <c r="M372" s="111"/>
      <c r="N372" s="111"/>
      <c r="O372" s="111"/>
      <c r="P372" s="111"/>
    </row>
    <row r="373" spans="1:16" s="104" customFormat="1" x14ac:dyDescent="0.2">
      <c r="A373" s="98"/>
      <c r="B373" s="105"/>
      <c r="C373" s="114"/>
      <c r="D373" s="4" t="s">
        <v>46</v>
      </c>
      <c r="E373" s="124" t="s">
        <v>0</v>
      </c>
      <c r="F373" s="5">
        <v>1</v>
      </c>
      <c r="G373" s="6">
        <v>4.2</v>
      </c>
      <c r="H373" s="6"/>
      <c r="I373" s="7">
        <v>0.2</v>
      </c>
      <c r="J373" s="125">
        <v>1</v>
      </c>
      <c r="K373" s="7"/>
      <c r="L373" s="7">
        <f t="shared" si="48"/>
        <v>0.84000000000000008</v>
      </c>
      <c r="M373" s="111"/>
      <c r="N373" s="111"/>
      <c r="O373" s="111"/>
      <c r="P373" s="111"/>
    </row>
    <row r="374" spans="1:16" s="104" customFormat="1" x14ac:dyDescent="0.2">
      <c r="A374" s="98"/>
      <c r="B374" s="105"/>
      <c r="C374" s="114"/>
      <c r="D374" s="4" t="s">
        <v>47</v>
      </c>
      <c r="E374" s="124" t="s">
        <v>0</v>
      </c>
      <c r="F374" s="5">
        <v>1</v>
      </c>
      <c r="G374" s="6">
        <v>7.11</v>
      </c>
      <c r="H374" s="6"/>
      <c r="I374" s="7">
        <v>0.2</v>
      </c>
      <c r="J374" s="125">
        <v>1</v>
      </c>
      <c r="K374" s="7"/>
      <c r="L374" s="7">
        <f t="shared" si="48"/>
        <v>1.4220000000000002</v>
      </c>
      <c r="M374" s="111"/>
      <c r="N374" s="111"/>
      <c r="O374" s="111"/>
      <c r="P374" s="111"/>
    </row>
    <row r="375" spans="1:16" s="104" customFormat="1" x14ac:dyDescent="0.2">
      <c r="A375" s="98"/>
      <c r="B375" s="105"/>
      <c r="C375" s="114"/>
      <c r="D375" s="4" t="s">
        <v>48</v>
      </c>
      <c r="E375" s="124" t="s">
        <v>0</v>
      </c>
      <c r="F375" s="5">
        <v>1</v>
      </c>
      <c r="G375" s="6">
        <v>4.2</v>
      </c>
      <c r="H375" s="6"/>
      <c r="I375" s="7">
        <v>0.2</v>
      </c>
      <c r="J375" s="125">
        <v>1</v>
      </c>
      <c r="K375" s="7"/>
      <c r="L375" s="7">
        <f t="shared" si="48"/>
        <v>0.84000000000000008</v>
      </c>
      <c r="M375" s="111"/>
      <c r="N375" s="111"/>
      <c r="O375" s="111"/>
      <c r="P375" s="111"/>
    </row>
    <row r="376" spans="1:16" s="104" customFormat="1" x14ac:dyDescent="0.2">
      <c r="A376" s="98"/>
      <c r="B376" s="105"/>
      <c r="C376" s="114"/>
      <c r="D376" s="4" t="s">
        <v>49</v>
      </c>
      <c r="E376" s="124" t="s">
        <v>0</v>
      </c>
      <c r="F376" s="5">
        <v>1</v>
      </c>
      <c r="G376" s="6">
        <v>7.11</v>
      </c>
      <c r="H376" s="6"/>
      <c r="I376" s="7">
        <v>0.2</v>
      </c>
      <c r="J376" s="125">
        <v>1</v>
      </c>
      <c r="K376" s="7"/>
      <c r="L376" s="7">
        <f t="shared" si="48"/>
        <v>1.4220000000000002</v>
      </c>
      <c r="M376" s="111"/>
      <c r="N376" s="111"/>
      <c r="O376" s="111"/>
      <c r="P376" s="111"/>
    </row>
    <row r="377" spans="1:16" s="104" customFormat="1" x14ac:dyDescent="0.2">
      <c r="A377" s="98"/>
      <c r="B377" s="105"/>
      <c r="C377" s="114"/>
      <c r="D377" s="115" t="s">
        <v>85</v>
      </c>
      <c r="E377" s="116"/>
      <c r="F377" s="109"/>
      <c r="G377" s="110"/>
      <c r="H377" s="110"/>
      <c r="I377" s="111"/>
      <c r="J377" s="112"/>
      <c r="K377" s="111"/>
      <c r="L377" s="111"/>
      <c r="M377" s="111"/>
      <c r="N377" s="111"/>
      <c r="O377" s="111"/>
      <c r="P377" s="111"/>
    </row>
    <row r="378" spans="1:16" s="104" customFormat="1" x14ac:dyDescent="0.2">
      <c r="A378" s="98"/>
      <c r="B378" s="105"/>
      <c r="C378" s="114"/>
      <c r="D378" s="4" t="s">
        <v>53</v>
      </c>
      <c r="E378" s="124" t="s">
        <v>0</v>
      </c>
      <c r="F378" s="5">
        <v>1</v>
      </c>
      <c r="G378" s="6">
        <v>8.4600000000000009</v>
      </c>
      <c r="H378" s="6"/>
      <c r="I378" s="7">
        <v>0.2</v>
      </c>
      <c r="J378" s="125">
        <v>1</v>
      </c>
      <c r="K378" s="7"/>
      <c r="L378" s="7">
        <f t="shared" ref="L378:L381" si="49">F378*G378*I378*J378</f>
        <v>1.6920000000000002</v>
      </c>
      <c r="M378" s="111"/>
      <c r="N378" s="111"/>
      <c r="O378" s="111"/>
      <c r="P378" s="111"/>
    </row>
    <row r="379" spans="1:16" s="104" customFormat="1" x14ac:dyDescent="0.2">
      <c r="A379" s="98"/>
      <c r="B379" s="105"/>
      <c r="C379" s="114"/>
      <c r="D379" s="4" t="s">
        <v>46</v>
      </c>
      <c r="E379" s="124" t="s">
        <v>0</v>
      </c>
      <c r="F379" s="5">
        <v>1</v>
      </c>
      <c r="G379" s="6">
        <v>4.2</v>
      </c>
      <c r="H379" s="6"/>
      <c r="I379" s="7">
        <v>0.2</v>
      </c>
      <c r="J379" s="125">
        <v>1</v>
      </c>
      <c r="K379" s="7"/>
      <c r="L379" s="7">
        <f t="shared" si="49"/>
        <v>0.84000000000000008</v>
      </c>
      <c r="M379" s="111"/>
      <c r="N379" s="111"/>
      <c r="O379" s="111"/>
      <c r="P379" s="111"/>
    </row>
    <row r="380" spans="1:16" s="104" customFormat="1" x14ac:dyDescent="0.2">
      <c r="A380" s="98"/>
      <c r="B380" s="105"/>
      <c r="C380" s="114"/>
      <c r="D380" s="4" t="s">
        <v>47</v>
      </c>
      <c r="E380" s="124" t="s">
        <v>0</v>
      </c>
      <c r="F380" s="5">
        <v>1</v>
      </c>
      <c r="G380" s="6">
        <v>7.11</v>
      </c>
      <c r="H380" s="6"/>
      <c r="I380" s="7">
        <v>0.2</v>
      </c>
      <c r="J380" s="125">
        <v>1</v>
      </c>
      <c r="K380" s="7"/>
      <c r="L380" s="7">
        <f t="shared" si="49"/>
        <v>1.4220000000000002</v>
      </c>
      <c r="M380" s="111"/>
      <c r="N380" s="111"/>
      <c r="O380" s="111"/>
      <c r="P380" s="111"/>
    </row>
    <row r="381" spans="1:16" s="104" customFormat="1" x14ac:dyDescent="0.2">
      <c r="A381" s="98"/>
      <c r="B381" s="105"/>
      <c r="C381" s="114"/>
      <c r="D381" s="4" t="s">
        <v>48</v>
      </c>
      <c r="E381" s="124" t="s">
        <v>0</v>
      </c>
      <c r="F381" s="5">
        <v>1</v>
      </c>
      <c r="G381" s="6">
        <v>4.2</v>
      </c>
      <c r="H381" s="6"/>
      <c r="I381" s="7">
        <v>0.2</v>
      </c>
      <c r="J381" s="125">
        <v>1</v>
      </c>
      <c r="K381" s="7"/>
      <c r="L381" s="7">
        <f t="shared" si="49"/>
        <v>0.84000000000000008</v>
      </c>
      <c r="M381" s="111"/>
      <c r="N381" s="111"/>
      <c r="O381" s="111"/>
      <c r="P381" s="111"/>
    </row>
    <row r="382" spans="1:16" s="104" customFormat="1" x14ac:dyDescent="0.2">
      <c r="A382" s="98"/>
      <c r="B382" s="105"/>
      <c r="C382" s="114"/>
      <c r="D382" s="4" t="s">
        <v>49</v>
      </c>
      <c r="E382" s="124" t="s">
        <v>0</v>
      </c>
      <c r="F382" s="5">
        <v>1</v>
      </c>
      <c r="G382" s="6">
        <v>7.11</v>
      </c>
      <c r="H382" s="6"/>
      <c r="I382" s="7">
        <v>0.2</v>
      </c>
      <c r="J382" s="125">
        <v>1</v>
      </c>
      <c r="K382" s="7"/>
      <c r="L382" s="7">
        <f>F382*G382*I382*J382</f>
        <v>1.4220000000000002</v>
      </c>
      <c r="M382" s="111"/>
      <c r="N382" s="111"/>
      <c r="O382" s="111"/>
      <c r="P382" s="111"/>
    </row>
    <row r="383" spans="1:16" s="104" customFormat="1" x14ac:dyDescent="0.2">
      <c r="A383" s="98"/>
      <c r="B383" s="105"/>
      <c r="C383" s="114"/>
      <c r="D383" s="117"/>
      <c r="E383" s="116"/>
      <c r="F383" s="109"/>
      <c r="G383" s="110"/>
      <c r="H383" s="110"/>
      <c r="I383" s="111"/>
      <c r="J383" s="112"/>
      <c r="K383" s="111"/>
      <c r="L383" s="111"/>
      <c r="M383" s="111"/>
      <c r="N383" s="111"/>
      <c r="O383" s="111"/>
      <c r="P383" s="111"/>
    </row>
    <row r="384" spans="1:16" x14ac:dyDescent="0.3">
      <c r="A384" s="8">
        <v>3</v>
      </c>
      <c r="C384" s="99" t="s">
        <v>1184</v>
      </c>
      <c r="D384" s="100" t="s">
        <v>420</v>
      </c>
      <c r="E384" s="132" t="s">
        <v>0</v>
      </c>
      <c r="F384" s="1"/>
      <c r="G384" s="2"/>
      <c r="H384" s="2"/>
      <c r="I384" s="2"/>
      <c r="J384" s="3"/>
      <c r="K384" s="122"/>
      <c r="L384" s="122"/>
      <c r="M384" s="103"/>
      <c r="N384" s="103"/>
      <c r="O384" s="103"/>
      <c r="P384" s="103">
        <f>SUM(L384:L432)</f>
        <v>83.871000000000009</v>
      </c>
    </row>
    <row r="385" spans="3:16" x14ac:dyDescent="0.3">
      <c r="C385" s="114"/>
      <c r="D385" s="123" t="s">
        <v>123</v>
      </c>
      <c r="E385" s="116"/>
      <c r="F385" s="109"/>
      <c r="G385" s="110"/>
      <c r="H385" s="110"/>
      <c r="I385" s="111"/>
      <c r="J385" s="112"/>
      <c r="K385" s="111"/>
      <c r="L385" s="111"/>
      <c r="M385" s="111"/>
      <c r="N385" s="111"/>
      <c r="O385" s="111"/>
      <c r="P385" s="111"/>
    </row>
    <row r="386" spans="3:16" x14ac:dyDescent="0.3">
      <c r="C386" s="114"/>
      <c r="D386" s="133" t="s">
        <v>124</v>
      </c>
      <c r="E386" s="116"/>
      <c r="F386" s="109"/>
      <c r="G386" s="110"/>
      <c r="H386" s="110"/>
      <c r="I386" s="111"/>
      <c r="J386" s="112"/>
      <c r="K386" s="111"/>
      <c r="L386" s="111"/>
      <c r="M386" s="111"/>
      <c r="N386" s="111"/>
      <c r="O386" s="111"/>
      <c r="P386" s="111"/>
    </row>
    <row r="387" spans="3:16" x14ac:dyDescent="0.3">
      <c r="C387" s="114"/>
      <c r="D387" s="134" t="s">
        <v>125</v>
      </c>
      <c r="E387" s="135" t="s">
        <v>0</v>
      </c>
      <c r="F387" s="5">
        <v>7</v>
      </c>
      <c r="G387" s="6">
        <v>0.15</v>
      </c>
      <c r="H387" s="6">
        <v>1.5</v>
      </c>
      <c r="I387" s="6">
        <v>0.6</v>
      </c>
      <c r="J387" s="125">
        <v>1</v>
      </c>
      <c r="K387" s="7"/>
      <c r="L387" s="7">
        <f>((H387+I387)*2)*F387*G387*J387</f>
        <v>4.41</v>
      </c>
      <c r="M387" s="111"/>
      <c r="N387" s="111"/>
      <c r="O387" s="111"/>
      <c r="P387" s="111"/>
    </row>
    <row r="388" spans="3:16" x14ac:dyDescent="0.3">
      <c r="C388" s="114"/>
      <c r="D388" s="123" t="s">
        <v>127</v>
      </c>
      <c r="E388" s="116"/>
      <c r="F388" s="109"/>
      <c r="G388" s="110"/>
      <c r="H388" s="110"/>
      <c r="I388" s="111"/>
      <c r="J388" s="112"/>
      <c r="K388" s="111"/>
      <c r="L388" s="111"/>
      <c r="M388" s="111"/>
      <c r="N388" s="111"/>
      <c r="O388" s="111"/>
      <c r="P388" s="111"/>
    </row>
    <row r="389" spans="3:16" x14ac:dyDescent="0.3">
      <c r="C389" s="114"/>
      <c r="D389" s="133" t="s">
        <v>124</v>
      </c>
      <c r="E389" s="116"/>
      <c r="F389" s="109"/>
      <c r="G389" s="110"/>
      <c r="H389" s="110"/>
      <c r="I389" s="111"/>
      <c r="J389" s="112"/>
      <c r="K389" s="111"/>
      <c r="L389" s="111"/>
      <c r="M389" s="111"/>
      <c r="N389" s="111"/>
      <c r="O389" s="111"/>
      <c r="P389" s="111"/>
    </row>
    <row r="390" spans="3:16" x14ac:dyDescent="0.3">
      <c r="C390" s="114"/>
      <c r="D390" s="134" t="s">
        <v>88</v>
      </c>
      <c r="E390" s="135" t="s">
        <v>0</v>
      </c>
      <c r="F390" s="5">
        <v>7</v>
      </c>
      <c r="G390" s="6">
        <v>0.15</v>
      </c>
      <c r="H390" s="6">
        <v>0.45</v>
      </c>
      <c r="I390" s="6">
        <v>3.95</v>
      </c>
      <c r="J390" s="125">
        <v>1</v>
      </c>
      <c r="K390" s="7"/>
      <c r="L390" s="7">
        <f>((H390+I390)*2)*F390*G390*J390</f>
        <v>9.24</v>
      </c>
      <c r="M390" s="111"/>
      <c r="N390" s="111"/>
      <c r="O390" s="111"/>
      <c r="P390" s="111"/>
    </row>
    <row r="391" spans="3:16" x14ac:dyDescent="0.3">
      <c r="C391" s="114"/>
      <c r="D391" s="134" t="s">
        <v>128</v>
      </c>
      <c r="E391" s="135" t="s">
        <v>0</v>
      </c>
      <c r="F391" s="5">
        <v>6</v>
      </c>
      <c r="G391" s="6">
        <v>0.15</v>
      </c>
      <c r="H391" s="6">
        <v>0.45</v>
      </c>
      <c r="I391" s="6">
        <v>0.55000000000000004</v>
      </c>
      <c r="J391" s="125">
        <v>1</v>
      </c>
      <c r="K391" s="7"/>
      <c r="L391" s="7">
        <f>((H391+I391)*2)*F391*G391*J391</f>
        <v>1.7999999999999998</v>
      </c>
      <c r="M391" s="111"/>
      <c r="N391" s="111"/>
      <c r="O391" s="111"/>
      <c r="P391" s="111"/>
    </row>
    <row r="392" spans="3:16" x14ac:dyDescent="0.3">
      <c r="C392" s="114"/>
      <c r="D392" s="133" t="s">
        <v>129</v>
      </c>
      <c r="E392" s="116"/>
      <c r="F392" s="109"/>
      <c r="G392" s="110"/>
      <c r="H392" s="110"/>
      <c r="I392" s="111"/>
      <c r="J392" s="112"/>
      <c r="K392" s="111"/>
      <c r="L392" s="111"/>
      <c r="M392" s="111"/>
      <c r="N392" s="111"/>
      <c r="O392" s="111"/>
      <c r="P392" s="111"/>
    </row>
    <row r="393" spans="3:16" x14ac:dyDescent="0.3">
      <c r="C393" s="114"/>
      <c r="D393" s="134" t="s">
        <v>130</v>
      </c>
      <c r="E393" s="135" t="s">
        <v>0</v>
      </c>
      <c r="F393" s="5">
        <v>1</v>
      </c>
      <c r="G393" s="6">
        <v>0.15</v>
      </c>
      <c r="H393" s="6">
        <v>1.5</v>
      </c>
      <c r="I393" s="130">
        <v>3.15</v>
      </c>
      <c r="J393" s="125">
        <v>1</v>
      </c>
      <c r="K393" s="7"/>
      <c r="L393" s="7">
        <f>((H393+I393)*2)*F393*G393*J393</f>
        <v>1.395</v>
      </c>
      <c r="M393" s="111"/>
      <c r="N393" s="111"/>
      <c r="O393" s="111"/>
      <c r="P393" s="111"/>
    </row>
    <row r="394" spans="3:16" x14ac:dyDescent="0.3">
      <c r="C394" s="114"/>
      <c r="D394" s="134" t="s">
        <v>131</v>
      </c>
      <c r="E394" s="135" t="s">
        <v>0</v>
      </c>
      <c r="F394" s="5">
        <v>1</v>
      </c>
      <c r="G394" s="6">
        <v>0.15</v>
      </c>
      <c r="H394" s="6">
        <v>0.9</v>
      </c>
      <c r="I394" s="130">
        <v>2.2999999999999998</v>
      </c>
      <c r="J394" s="125">
        <v>1</v>
      </c>
      <c r="K394" s="7"/>
      <c r="L394" s="7">
        <f>((H394+I394)*2)*F394*G394*J394</f>
        <v>0.95999999999999985</v>
      </c>
      <c r="M394" s="111"/>
      <c r="N394" s="111"/>
      <c r="O394" s="111"/>
      <c r="P394" s="111"/>
    </row>
    <row r="395" spans="3:16" x14ac:dyDescent="0.3">
      <c r="C395" s="114"/>
      <c r="D395" s="134" t="s">
        <v>132</v>
      </c>
      <c r="E395" s="135" t="s">
        <v>0</v>
      </c>
      <c r="F395" s="5">
        <v>1</v>
      </c>
      <c r="G395" s="6">
        <v>0.15</v>
      </c>
      <c r="H395" s="6">
        <v>0.7</v>
      </c>
      <c r="I395" s="130">
        <v>2.2999999999999998</v>
      </c>
      <c r="J395" s="125">
        <v>1</v>
      </c>
      <c r="K395" s="7"/>
      <c r="L395" s="7">
        <f>((H395+I395)*2)*F395*G395*J395</f>
        <v>0.89999999999999991</v>
      </c>
      <c r="M395" s="111"/>
      <c r="N395" s="111"/>
      <c r="O395" s="111"/>
      <c r="P395" s="111"/>
    </row>
    <row r="396" spans="3:16" x14ac:dyDescent="0.3">
      <c r="C396" s="114"/>
      <c r="D396" s="134" t="s">
        <v>133</v>
      </c>
      <c r="E396" s="135" t="s">
        <v>0</v>
      </c>
      <c r="F396" s="5">
        <v>2</v>
      </c>
      <c r="G396" s="6">
        <v>0.15</v>
      </c>
      <c r="H396" s="6">
        <v>0.7</v>
      </c>
      <c r="I396" s="130">
        <v>2.7</v>
      </c>
      <c r="J396" s="125">
        <v>1</v>
      </c>
      <c r="K396" s="7"/>
      <c r="L396" s="7">
        <f>((H396+I396)*2)*F396*G396*J396</f>
        <v>2.04</v>
      </c>
      <c r="M396" s="111"/>
      <c r="N396" s="111"/>
      <c r="O396" s="111"/>
      <c r="P396" s="111"/>
    </row>
    <row r="397" spans="3:16" x14ac:dyDescent="0.3">
      <c r="C397" s="114"/>
      <c r="D397" s="123" t="s">
        <v>134</v>
      </c>
      <c r="E397" s="116"/>
      <c r="F397" s="109"/>
      <c r="G397" s="110"/>
      <c r="H397" s="110"/>
      <c r="I397" s="111"/>
      <c r="J397" s="112"/>
      <c r="K397" s="111"/>
      <c r="L397" s="111"/>
      <c r="M397" s="111"/>
      <c r="N397" s="111"/>
      <c r="O397" s="111"/>
      <c r="P397" s="111"/>
    </row>
    <row r="398" spans="3:16" x14ac:dyDescent="0.3">
      <c r="C398" s="114"/>
      <c r="D398" s="133" t="s">
        <v>129</v>
      </c>
      <c r="E398" s="116"/>
      <c r="F398" s="109"/>
      <c r="G398" s="110"/>
      <c r="H398" s="110"/>
      <c r="I398" s="111"/>
      <c r="J398" s="112"/>
      <c r="K398" s="111"/>
      <c r="L398" s="111"/>
      <c r="M398" s="111"/>
      <c r="N398" s="111"/>
      <c r="O398" s="111"/>
      <c r="P398" s="111"/>
    </row>
    <row r="399" spans="3:16" x14ac:dyDescent="0.3">
      <c r="C399" s="114"/>
      <c r="D399" s="134" t="s">
        <v>135</v>
      </c>
      <c r="E399" s="135" t="s">
        <v>0</v>
      </c>
      <c r="F399" s="5">
        <v>1</v>
      </c>
      <c r="G399" s="6">
        <v>0.15</v>
      </c>
      <c r="H399" s="6">
        <v>1</v>
      </c>
      <c r="I399" s="130">
        <v>3</v>
      </c>
      <c r="J399" s="125">
        <v>1</v>
      </c>
      <c r="K399" s="7"/>
      <c r="L399" s="7">
        <f>((H399+I399)*2)*F399*G399*J399</f>
        <v>1.2</v>
      </c>
      <c r="M399" s="111"/>
      <c r="N399" s="111"/>
      <c r="O399" s="111"/>
      <c r="P399" s="111"/>
    </row>
    <row r="400" spans="3:16" x14ac:dyDescent="0.3">
      <c r="C400" s="114"/>
      <c r="D400" s="123" t="s">
        <v>44</v>
      </c>
      <c r="E400" s="116"/>
      <c r="F400" s="109"/>
      <c r="G400" s="110"/>
      <c r="H400" s="110"/>
      <c r="I400" s="111"/>
      <c r="J400" s="112"/>
      <c r="K400" s="111"/>
      <c r="L400" s="111"/>
      <c r="M400" s="111"/>
      <c r="N400" s="111"/>
      <c r="O400" s="111"/>
      <c r="P400" s="111"/>
    </row>
    <row r="401" spans="3:16" x14ac:dyDescent="0.3">
      <c r="C401" s="114"/>
      <c r="D401" s="133" t="s">
        <v>124</v>
      </c>
      <c r="E401" s="116"/>
      <c r="F401" s="109"/>
      <c r="G401" s="110"/>
      <c r="H401" s="110"/>
      <c r="I401" s="111"/>
      <c r="J401" s="112"/>
      <c r="K401" s="111"/>
      <c r="L401" s="111"/>
      <c r="M401" s="111"/>
      <c r="N401" s="111"/>
      <c r="O401" s="111"/>
      <c r="P401" s="111"/>
    </row>
    <row r="402" spans="3:16" x14ac:dyDescent="0.3">
      <c r="C402" s="114"/>
      <c r="D402" s="134" t="s">
        <v>136</v>
      </c>
      <c r="E402" s="135" t="s">
        <v>0</v>
      </c>
      <c r="F402" s="5">
        <v>6</v>
      </c>
      <c r="G402" s="6">
        <v>0.15</v>
      </c>
      <c r="H402" s="6">
        <v>0.45</v>
      </c>
      <c r="I402" s="130">
        <v>1.2</v>
      </c>
      <c r="J402" s="125">
        <v>1</v>
      </c>
      <c r="K402" s="7"/>
      <c r="L402" s="7">
        <f>((H402+I402)*2)*F402*G402*J402</f>
        <v>2.9699999999999993</v>
      </c>
      <c r="M402" s="111"/>
      <c r="N402" s="111"/>
      <c r="O402" s="111"/>
      <c r="P402" s="111"/>
    </row>
    <row r="403" spans="3:16" x14ac:dyDescent="0.3">
      <c r="C403" s="114"/>
      <c r="D403" s="123" t="s">
        <v>45</v>
      </c>
      <c r="E403" s="116"/>
      <c r="F403" s="109"/>
      <c r="G403" s="110"/>
      <c r="H403" s="110"/>
      <c r="I403" s="111"/>
      <c r="J403" s="112"/>
      <c r="K403" s="111"/>
      <c r="L403" s="111"/>
      <c r="M403" s="111"/>
      <c r="N403" s="111"/>
      <c r="O403" s="111"/>
      <c r="P403" s="111"/>
    </row>
    <row r="404" spans="3:16" x14ac:dyDescent="0.3">
      <c r="C404" s="114"/>
      <c r="D404" s="133" t="s">
        <v>124</v>
      </c>
      <c r="E404" s="116"/>
      <c r="F404" s="109"/>
      <c r="G404" s="110"/>
      <c r="H404" s="110"/>
      <c r="I404" s="111"/>
      <c r="J404" s="112"/>
      <c r="K404" s="111"/>
      <c r="L404" s="111"/>
      <c r="M404" s="111"/>
      <c r="N404" s="111"/>
      <c r="O404" s="111"/>
      <c r="P404" s="111"/>
    </row>
    <row r="405" spans="3:16" x14ac:dyDescent="0.3">
      <c r="C405" s="114"/>
      <c r="D405" s="134" t="s">
        <v>137</v>
      </c>
      <c r="E405" s="135" t="s">
        <v>0</v>
      </c>
      <c r="F405" s="5">
        <v>7</v>
      </c>
      <c r="G405" s="6">
        <v>0.15</v>
      </c>
      <c r="H405" s="6">
        <v>0.45</v>
      </c>
      <c r="I405" s="130">
        <v>1.6</v>
      </c>
      <c r="J405" s="125">
        <v>1</v>
      </c>
      <c r="K405" s="7"/>
      <c r="L405" s="7">
        <f>((H405+I405)*2)*F405*G405*J405</f>
        <v>4.3050000000000006</v>
      </c>
      <c r="M405" s="111"/>
      <c r="N405" s="111"/>
      <c r="O405" s="111"/>
      <c r="P405" s="111"/>
    </row>
    <row r="406" spans="3:16" x14ac:dyDescent="0.3">
      <c r="C406" s="114"/>
      <c r="D406" s="123" t="s">
        <v>50</v>
      </c>
      <c r="E406" s="116"/>
      <c r="F406" s="109"/>
      <c r="G406" s="110"/>
      <c r="H406" s="110"/>
      <c r="I406" s="111"/>
      <c r="J406" s="112"/>
      <c r="K406" s="111"/>
      <c r="L406" s="111"/>
      <c r="M406" s="111"/>
      <c r="N406" s="111"/>
      <c r="O406" s="111"/>
      <c r="P406" s="111"/>
    </row>
    <row r="407" spans="3:16" x14ac:dyDescent="0.3">
      <c r="C407" s="114"/>
      <c r="D407" s="133" t="s">
        <v>124</v>
      </c>
      <c r="E407" s="116"/>
      <c r="F407" s="109"/>
      <c r="G407" s="110"/>
      <c r="H407" s="110"/>
      <c r="I407" s="111"/>
      <c r="J407" s="112"/>
      <c r="K407" s="111"/>
      <c r="L407" s="111"/>
      <c r="M407" s="111"/>
      <c r="N407" s="111"/>
      <c r="O407" s="111"/>
      <c r="P407" s="111"/>
    </row>
    <row r="408" spans="3:16" x14ac:dyDescent="0.3">
      <c r="C408" s="114"/>
      <c r="D408" s="134" t="s">
        <v>136</v>
      </c>
      <c r="E408" s="135" t="s">
        <v>0</v>
      </c>
      <c r="F408" s="5">
        <v>6</v>
      </c>
      <c r="G408" s="6">
        <v>0.15</v>
      </c>
      <c r="H408" s="6">
        <v>0.45</v>
      </c>
      <c r="I408" s="130">
        <v>1.2</v>
      </c>
      <c r="J408" s="125">
        <v>1</v>
      </c>
      <c r="K408" s="7"/>
      <c r="L408" s="7">
        <f>((H408+I408)*2)*F408*G408*J408</f>
        <v>2.9699999999999993</v>
      </c>
      <c r="M408" s="111"/>
      <c r="N408" s="111"/>
      <c r="O408" s="111"/>
      <c r="P408" s="111"/>
    </row>
    <row r="409" spans="3:16" x14ac:dyDescent="0.3">
      <c r="C409" s="114"/>
      <c r="D409" s="123" t="s">
        <v>138</v>
      </c>
      <c r="E409" s="116"/>
      <c r="F409" s="109"/>
      <c r="G409" s="110"/>
      <c r="H409" s="110"/>
      <c r="I409" s="111"/>
      <c r="J409" s="112"/>
      <c r="K409" s="111"/>
      <c r="L409" s="111"/>
      <c r="M409" s="111"/>
      <c r="N409" s="111"/>
      <c r="O409" s="111"/>
      <c r="P409" s="111"/>
    </row>
    <row r="410" spans="3:16" x14ac:dyDescent="0.3">
      <c r="C410" s="114"/>
      <c r="D410" s="133" t="s">
        <v>124</v>
      </c>
      <c r="E410" s="116"/>
      <c r="F410" s="109"/>
      <c r="G410" s="110"/>
      <c r="H410" s="110"/>
      <c r="I410" s="111"/>
      <c r="J410" s="112"/>
      <c r="K410" s="111"/>
      <c r="L410" s="111"/>
      <c r="M410" s="111"/>
      <c r="N410" s="111"/>
      <c r="O410" s="111"/>
      <c r="P410" s="111"/>
    </row>
    <row r="411" spans="3:16" x14ac:dyDescent="0.3">
      <c r="C411" s="114"/>
      <c r="D411" s="134" t="s">
        <v>137</v>
      </c>
      <c r="E411" s="135" t="s">
        <v>0</v>
      </c>
      <c r="F411" s="5">
        <v>7</v>
      </c>
      <c r="G411" s="6">
        <v>0.15</v>
      </c>
      <c r="H411" s="6">
        <v>0.45</v>
      </c>
      <c r="I411" s="130">
        <v>1.6</v>
      </c>
      <c r="J411" s="125">
        <v>1</v>
      </c>
      <c r="K411" s="7"/>
      <c r="L411" s="7">
        <f>((H411+I411)*2)*F411*G411*J411</f>
        <v>4.3050000000000006</v>
      </c>
      <c r="M411" s="111"/>
      <c r="N411" s="111"/>
      <c r="O411" s="111"/>
      <c r="P411" s="111"/>
    </row>
    <row r="412" spans="3:16" x14ac:dyDescent="0.3">
      <c r="C412" s="114"/>
      <c r="D412" s="134" t="s">
        <v>139</v>
      </c>
      <c r="E412" s="135" t="s">
        <v>0</v>
      </c>
      <c r="F412" s="5">
        <v>8</v>
      </c>
      <c r="G412" s="6">
        <v>0.15</v>
      </c>
      <c r="H412" s="6">
        <v>0.45</v>
      </c>
      <c r="I412" s="130">
        <v>0.57999999999999996</v>
      </c>
      <c r="J412" s="125">
        <v>1</v>
      </c>
      <c r="K412" s="7"/>
      <c r="L412" s="7">
        <f>((H412+I412)*2)*F412*G412*J412</f>
        <v>2.472</v>
      </c>
      <c r="M412" s="111"/>
      <c r="N412" s="111"/>
      <c r="O412" s="111"/>
      <c r="P412" s="111"/>
    </row>
    <row r="413" spans="3:16" x14ac:dyDescent="0.3">
      <c r="C413" s="114"/>
      <c r="D413" s="123" t="s">
        <v>85</v>
      </c>
      <c r="E413" s="116"/>
      <c r="F413" s="109"/>
      <c r="G413" s="110"/>
      <c r="H413" s="110"/>
      <c r="I413" s="111"/>
      <c r="J413" s="112"/>
      <c r="K413" s="111"/>
      <c r="L413" s="111"/>
      <c r="M413" s="111"/>
      <c r="N413" s="111"/>
      <c r="O413" s="111"/>
      <c r="P413" s="111"/>
    </row>
    <row r="414" spans="3:16" x14ac:dyDescent="0.3">
      <c r="C414" s="114"/>
      <c r="D414" s="133" t="s">
        <v>124</v>
      </c>
      <c r="E414" s="116"/>
      <c r="F414" s="109"/>
      <c r="G414" s="110"/>
      <c r="H414" s="110"/>
      <c r="I414" s="111"/>
      <c r="J414" s="112"/>
      <c r="K414" s="111"/>
      <c r="L414" s="111"/>
      <c r="M414" s="111"/>
      <c r="N414" s="111"/>
      <c r="O414" s="111"/>
      <c r="P414" s="111"/>
    </row>
    <row r="415" spans="3:16" x14ac:dyDescent="0.3">
      <c r="C415" s="114"/>
      <c r="D415" s="134" t="s">
        <v>140</v>
      </c>
      <c r="E415" s="135" t="s">
        <v>0</v>
      </c>
      <c r="F415" s="5">
        <v>32</v>
      </c>
      <c r="G415" s="6">
        <v>0.15</v>
      </c>
      <c r="H415" s="6">
        <v>0.45</v>
      </c>
      <c r="I415" s="130">
        <v>2.15</v>
      </c>
      <c r="J415" s="125">
        <v>1</v>
      </c>
      <c r="K415" s="7"/>
      <c r="L415" s="7">
        <f>((H415+I415)*2)*F415*G415*J415</f>
        <v>24.96</v>
      </c>
      <c r="M415" s="111"/>
      <c r="N415" s="111"/>
      <c r="O415" s="111"/>
      <c r="P415" s="111"/>
    </row>
    <row r="416" spans="3:16" x14ac:dyDescent="0.3">
      <c r="C416" s="114"/>
      <c r="D416" s="134" t="s">
        <v>141</v>
      </c>
      <c r="E416" s="135" t="s">
        <v>0</v>
      </c>
      <c r="F416" s="5">
        <v>2</v>
      </c>
      <c r="G416" s="6">
        <v>0.15</v>
      </c>
      <c r="H416" s="6">
        <v>0.6</v>
      </c>
      <c r="I416" s="130">
        <v>2.15</v>
      </c>
      <c r="J416" s="125">
        <v>1</v>
      </c>
      <c r="K416" s="7"/>
      <c r="L416" s="7">
        <f>((H416+I416)*2)*F416*G416*J416</f>
        <v>1.65</v>
      </c>
      <c r="M416" s="111"/>
      <c r="N416" s="111"/>
      <c r="O416" s="111"/>
      <c r="P416" s="111"/>
    </row>
    <row r="417" spans="3:16" x14ac:dyDescent="0.3">
      <c r="C417" s="114"/>
      <c r="D417" s="123" t="s">
        <v>52</v>
      </c>
      <c r="E417" s="116"/>
      <c r="F417" s="109"/>
      <c r="G417" s="110"/>
      <c r="H417" s="110"/>
      <c r="I417" s="111"/>
      <c r="J417" s="112"/>
      <c r="K417" s="111"/>
      <c r="L417" s="111"/>
      <c r="M417" s="111"/>
      <c r="N417" s="111"/>
      <c r="O417" s="111"/>
      <c r="P417" s="111"/>
    </row>
    <row r="418" spans="3:16" x14ac:dyDescent="0.3">
      <c r="C418" s="114"/>
      <c r="D418" s="133" t="s">
        <v>124</v>
      </c>
      <c r="E418" s="116"/>
      <c r="F418" s="109"/>
      <c r="G418" s="110"/>
      <c r="H418" s="110"/>
      <c r="I418" s="111"/>
      <c r="J418" s="112"/>
      <c r="K418" s="111"/>
      <c r="L418" s="111"/>
      <c r="M418" s="111"/>
      <c r="N418" s="111"/>
      <c r="O418" s="111"/>
      <c r="P418" s="111"/>
    </row>
    <row r="419" spans="3:16" x14ac:dyDescent="0.3">
      <c r="C419" s="114"/>
      <c r="D419" s="4" t="s">
        <v>142</v>
      </c>
      <c r="E419" s="135" t="s">
        <v>0</v>
      </c>
      <c r="F419" s="5">
        <v>8</v>
      </c>
      <c r="G419" s="6">
        <v>0.15</v>
      </c>
      <c r="H419" s="6">
        <v>0.45</v>
      </c>
      <c r="I419" s="7">
        <v>0.87</v>
      </c>
      <c r="J419" s="125">
        <v>1</v>
      </c>
      <c r="K419" s="7"/>
      <c r="L419" s="7">
        <f t="shared" ref="L419:L431" si="50">((H419+I419)*2)*F419*G419*J419</f>
        <v>3.1680000000000001</v>
      </c>
      <c r="M419" s="111"/>
      <c r="N419" s="111"/>
      <c r="O419" s="111"/>
      <c r="P419" s="111"/>
    </row>
    <row r="420" spans="3:16" x14ac:dyDescent="0.3">
      <c r="C420" s="114"/>
      <c r="D420" s="4" t="s">
        <v>143</v>
      </c>
      <c r="E420" s="135" t="s">
        <v>0</v>
      </c>
      <c r="F420" s="5">
        <v>2</v>
      </c>
      <c r="G420" s="6">
        <v>0.15</v>
      </c>
      <c r="H420" s="6">
        <v>0.6</v>
      </c>
      <c r="I420" s="7">
        <v>0.98</v>
      </c>
      <c r="J420" s="125">
        <v>1</v>
      </c>
      <c r="K420" s="7"/>
      <c r="L420" s="7">
        <f t="shared" si="50"/>
        <v>0.94799999999999995</v>
      </c>
      <c r="M420" s="111"/>
      <c r="N420" s="111"/>
      <c r="O420" s="111"/>
      <c r="P420" s="111"/>
    </row>
    <row r="421" spans="3:16" x14ac:dyDescent="0.3">
      <c r="C421" s="114"/>
      <c r="D421" s="4" t="s">
        <v>144</v>
      </c>
      <c r="E421" s="135" t="s">
        <v>0</v>
      </c>
      <c r="F421" s="5">
        <v>2</v>
      </c>
      <c r="G421" s="6">
        <v>0.15</v>
      </c>
      <c r="H421" s="6">
        <v>0.45</v>
      </c>
      <c r="I421" s="7">
        <v>1.08</v>
      </c>
      <c r="J421" s="125">
        <v>1</v>
      </c>
      <c r="K421" s="7"/>
      <c r="L421" s="7">
        <f t="shared" si="50"/>
        <v>0.91799999999999993</v>
      </c>
      <c r="M421" s="111"/>
      <c r="N421" s="111"/>
      <c r="O421" s="111"/>
      <c r="P421" s="111"/>
    </row>
    <row r="422" spans="3:16" x14ac:dyDescent="0.3">
      <c r="C422" s="114"/>
      <c r="D422" s="4" t="s">
        <v>145</v>
      </c>
      <c r="E422" s="135" t="s">
        <v>0</v>
      </c>
      <c r="F422" s="5">
        <v>2</v>
      </c>
      <c r="G422" s="6">
        <v>0.15</v>
      </c>
      <c r="H422" s="6">
        <v>0.45</v>
      </c>
      <c r="I422" s="7">
        <v>1.17</v>
      </c>
      <c r="J422" s="125">
        <v>1</v>
      </c>
      <c r="K422" s="7"/>
      <c r="L422" s="7">
        <f t="shared" si="50"/>
        <v>0.97199999999999986</v>
      </c>
      <c r="M422" s="111"/>
      <c r="N422" s="111"/>
      <c r="O422" s="111"/>
      <c r="P422" s="111"/>
    </row>
    <row r="423" spans="3:16" x14ac:dyDescent="0.3">
      <c r="C423" s="114"/>
      <c r="D423" s="4" t="s">
        <v>146</v>
      </c>
      <c r="E423" s="135" t="s">
        <v>0</v>
      </c>
      <c r="F423" s="5">
        <v>2</v>
      </c>
      <c r="G423" s="6">
        <v>0.15</v>
      </c>
      <c r="H423" s="6">
        <v>0.45</v>
      </c>
      <c r="I423" s="7">
        <v>1.26</v>
      </c>
      <c r="J423" s="125">
        <v>1</v>
      </c>
      <c r="K423" s="7"/>
      <c r="L423" s="7">
        <f t="shared" si="50"/>
        <v>1.026</v>
      </c>
      <c r="M423" s="111"/>
      <c r="N423" s="111"/>
      <c r="O423" s="111"/>
      <c r="P423" s="111"/>
    </row>
    <row r="424" spans="3:16" x14ac:dyDescent="0.3">
      <c r="C424" s="114"/>
      <c r="D424" s="4" t="s">
        <v>147</v>
      </c>
      <c r="E424" s="135" t="s">
        <v>0</v>
      </c>
      <c r="F424" s="5">
        <v>2</v>
      </c>
      <c r="G424" s="6">
        <v>0.15</v>
      </c>
      <c r="H424" s="6">
        <v>0.45</v>
      </c>
      <c r="I424" s="7">
        <v>1.35</v>
      </c>
      <c r="J424" s="125">
        <v>1</v>
      </c>
      <c r="K424" s="7"/>
      <c r="L424" s="7">
        <f t="shared" si="50"/>
        <v>1.08</v>
      </c>
      <c r="M424" s="111"/>
      <c r="N424" s="111"/>
      <c r="O424" s="111"/>
      <c r="P424" s="111"/>
    </row>
    <row r="425" spans="3:16" x14ac:dyDescent="0.3">
      <c r="C425" s="114"/>
      <c r="D425" s="4" t="s">
        <v>148</v>
      </c>
      <c r="E425" s="135" t="s">
        <v>0</v>
      </c>
      <c r="F425" s="5">
        <v>2</v>
      </c>
      <c r="G425" s="6">
        <v>0.15</v>
      </c>
      <c r="H425" s="6">
        <v>0.45</v>
      </c>
      <c r="I425" s="7">
        <v>1.44</v>
      </c>
      <c r="J425" s="125">
        <v>1</v>
      </c>
      <c r="K425" s="7"/>
      <c r="L425" s="7">
        <f t="shared" si="50"/>
        <v>1.1339999999999999</v>
      </c>
      <c r="M425" s="111"/>
      <c r="N425" s="111"/>
      <c r="O425" s="111"/>
      <c r="P425" s="111"/>
    </row>
    <row r="426" spans="3:16" x14ac:dyDescent="0.3">
      <c r="C426" s="114"/>
      <c r="D426" s="4" t="s">
        <v>149</v>
      </c>
      <c r="E426" s="135" t="s">
        <v>0</v>
      </c>
      <c r="F426" s="5">
        <v>2</v>
      </c>
      <c r="G426" s="6">
        <v>0.15</v>
      </c>
      <c r="H426" s="6">
        <v>0.45</v>
      </c>
      <c r="I426" s="7">
        <v>1.53</v>
      </c>
      <c r="J426" s="125">
        <v>1</v>
      </c>
      <c r="K426" s="7"/>
      <c r="L426" s="7">
        <f t="shared" si="50"/>
        <v>1.1879999999999999</v>
      </c>
      <c r="M426" s="111"/>
      <c r="N426" s="111"/>
      <c r="O426" s="111"/>
      <c r="P426" s="111"/>
    </row>
    <row r="427" spans="3:16" x14ac:dyDescent="0.3">
      <c r="C427" s="114"/>
      <c r="D427" s="4" t="s">
        <v>150</v>
      </c>
      <c r="E427" s="135" t="s">
        <v>0</v>
      </c>
      <c r="F427" s="5">
        <v>2</v>
      </c>
      <c r="G427" s="6">
        <v>0.15</v>
      </c>
      <c r="H427" s="6">
        <v>0.45</v>
      </c>
      <c r="I427" s="7">
        <v>1.6</v>
      </c>
      <c r="J427" s="125">
        <v>1</v>
      </c>
      <c r="K427" s="7"/>
      <c r="L427" s="7">
        <f t="shared" si="50"/>
        <v>1.2300000000000002</v>
      </c>
      <c r="M427" s="111"/>
      <c r="N427" s="111"/>
      <c r="O427" s="111"/>
      <c r="P427" s="111"/>
    </row>
    <row r="428" spans="3:16" x14ac:dyDescent="0.3">
      <c r="C428" s="114"/>
      <c r="D428" s="4" t="s">
        <v>151</v>
      </c>
      <c r="E428" s="135" t="s">
        <v>0</v>
      </c>
      <c r="F428" s="5">
        <v>2</v>
      </c>
      <c r="G428" s="6">
        <v>0.15</v>
      </c>
      <c r="H428" s="6">
        <v>0.45</v>
      </c>
      <c r="I428" s="7">
        <v>1.67</v>
      </c>
      <c r="J428" s="125">
        <v>1</v>
      </c>
      <c r="K428" s="7"/>
      <c r="L428" s="7">
        <f t="shared" si="50"/>
        <v>1.272</v>
      </c>
      <c r="M428" s="111"/>
      <c r="N428" s="111"/>
      <c r="O428" s="111"/>
      <c r="P428" s="111"/>
    </row>
    <row r="429" spans="3:16" x14ac:dyDescent="0.3">
      <c r="C429" s="114"/>
      <c r="D429" s="4" t="s">
        <v>152</v>
      </c>
      <c r="E429" s="135" t="s">
        <v>0</v>
      </c>
      <c r="F429" s="5">
        <v>2</v>
      </c>
      <c r="G429" s="6">
        <v>0.15</v>
      </c>
      <c r="H429" s="6">
        <v>0.45</v>
      </c>
      <c r="I429" s="7">
        <v>1.73</v>
      </c>
      <c r="J429" s="125">
        <v>1</v>
      </c>
      <c r="K429" s="7"/>
      <c r="L429" s="7">
        <f t="shared" si="50"/>
        <v>1.3080000000000001</v>
      </c>
      <c r="M429" s="111"/>
      <c r="N429" s="111"/>
      <c r="O429" s="111"/>
      <c r="P429" s="111"/>
    </row>
    <row r="430" spans="3:16" x14ac:dyDescent="0.3">
      <c r="C430" s="114"/>
      <c r="D430" s="4" t="s">
        <v>153</v>
      </c>
      <c r="E430" s="135" t="s">
        <v>0</v>
      </c>
      <c r="F430" s="5">
        <v>2</v>
      </c>
      <c r="G430" s="6">
        <v>0.15</v>
      </c>
      <c r="H430" s="6">
        <v>0.45</v>
      </c>
      <c r="I430" s="7">
        <v>1.78</v>
      </c>
      <c r="J430" s="125">
        <v>1</v>
      </c>
      <c r="K430" s="7"/>
      <c r="L430" s="7">
        <f t="shared" si="50"/>
        <v>1.3379999999999999</v>
      </c>
      <c r="M430" s="111"/>
      <c r="N430" s="111"/>
      <c r="O430" s="111"/>
      <c r="P430" s="111"/>
    </row>
    <row r="431" spans="3:16" x14ac:dyDescent="0.3">
      <c r="C431" s="114"/>
      <c r="D431" s="4" t="s">
        <v>154</v>
      </c>
      <c r="E431" s="135" t="s">
        <v>0</v>
      </c>
      <c r="F431" s="5">
        <v>4</v>
      </c>
      <c r="G431" s="6">
        <v>0.15</v>
      </c>
      <c r="H431" s="6">
        <v>0.45</v>
      </c>
      <c r="I431" s="7">
        <v>1.81</v>
      </c>
      <c r="J431" s="125">
        <v>1</v>
      </c>
      <c r="K431" s="7"/>
      <c r="L431" s="7">
        <f t="shared" si="50"/>
        <v>2.7120000000000002</v>
      </c>
      <c r="M431" s="111"/>
      <c r="N431" s="111"/>
      <c r="O431" s="111"/>
      <c r="P431" s="111"/>
    </row>
    <row r="432" spans="3:16" x14ac:dyDescent="0.3">
      <c r="C432" s="114"/>
      <c r="D432" s="117"/>
      <c r="E432" s="116"/>
      <c r="F432" s="109"/>
      <c r="G432" s="110"/>
      <c r="H432" s="110"/>
      <c r="I432" s="110"/>
      <c r="J432" s="109"/>
      <c r="L432" s="110"/>
      <c r="M432" s="111"/>
      <c r="N432" s="111"/>
      <c r="O432" s="111"/>
      <c r="P432" s="111"/>
    </row>
    <row r="433" spans="1:16" x14ac:dyDescent="0.3">
      <c r="A433" s="8">
        <v>3</v>
      </c>
      <c r="C433" s="99" t="s">
        <v>1185</v>
      </c>
      <c r="D433" s="100" t="s">
        <v>159</v>
      </c>
      <c r="E433" s="101" t="s">
        <v>0</v>
      </c>
      <c r="F433" s="1"/>
      <c r="G433" s="2"/>
      <c r="H433" s="2"/>
      <c r="I433" s="2"/>
      <c r="J433" s="102"/>
      <c r="K433" s="103"/>
      <c r="L433" s="103"/>
      <c r="M433" s="103"/>
      <c r="N433" s="103"/>
      <c r="O433" s="103"/>
      <c r="P433" s="103">
        <f>SUM(L434:L440)</f>
        <v>169.28000000000003</v>
      </c>
    </row>
    <row r="434" spans="1:16" x14ac:dyDescent="0.3">
      <c r="C434" s="106"/>
      <c r="D434" s="120" t="s">
        <v>127</v>
      </c>
      <c r="E434" s="121"/>
      <c r="F434" s="3"/>
      <c r="G434" s="122"/>
      <c r="H434" s="122"/>
      <c r="I434" s="122"/>
      <c r="J434" s="119"/>
      <c r="K434" s="113"/>
      <c r="L434" s="113"/>
      <c r="M434" s="113"/>
      <c r="N434" s="113"/>
      <c r="O434" s="113"/>
      <c r="P434" s="113"/>
    </row>
    <row r="435" spans="1:16" x14ac:dyDescent="0.3">
      <c r="C435" s="114"/>
      <c r="D435" s="4" t="s">
        <v>155</v>
      </c>
      <c r="E435" s="124" t="s">
        <v>0</v>
      </c>
      <c r="F435" s="5">
        <v>1</v>
      </c>
      <c r="G435" s="6" t="s">
        <v>156</v>
      </c>
      <c r="H435" s="6">
        <v>15.71</v>
      </c>
      <c r="I435" s="6"/>
      <c r="J435" s="125">
        <v>1</v>
      </c>
      <c r="K435" s="7"/>
      <c r="L435" s="7">
        <f>IF(F435="","",PRODUCT(F435:J435))</f>
        <v>15.71</v>
      </c>
      <c r="M435" s="111"/>
      <c r="N435" s="111"/>
      <c r="O435" s="111"/>
      <c r="P435" s="111"/>
    </row>
    <row r="436" spans="1:16" x14ac:dyDescent="0.3">
      <c r="C436" s="106"/>
      <c r="D436" s="120" t="s">
        <v>51</v>
      </c>
      <c r="E436" s="121"/>
      <c r="F436" s="3"/>
      <c r="G436" s="122"/>
      <c r="H436" s="122"/>
      <c r="I436" s="122"/>
      <c r="J436" s="119"/>
      <c r="K436" s="113"/>
      <c r="L436" s="113"/>
      <c r="M436" s="113"/>
      <c r="N436" s="113"/>
      <c r="O436" s="113"/>
      <c r="P436" s="113"/>
    </row>
    <row r="437" spans="1:16" x14ac:dyDescent="0.3">
      <c r="C437" s="114"/>
      <c r="D437" s="4" t="s">
        <v>157</v>
      </c>
      <c r="E437" s="124" t="s">
        <v>0</v>
      </c>
      <c r="F437" s="5">
        <v>1</v>
      </c>
      <c r="G437" s="6" t="s">
        <v>156</v>
      </c>
      <c r="H437" s="6">
        <f>155.4-73</f>
        <v>82.4</v>
      </c>
      <c r="I437" s="6"/>
      <c r="J437" s="125">
        <v>1</v>
      </c>
      <c r="K437" s="7"/>
      <c r="L437" s="7">
        <f>IF(F437="","",PRODUCT(F437:J437))</f>
        <v>82.4</v>
      </c>
      <c r="M437" s="111"/>
      <c r="N437" s="111"/>
      <c r="O437" s="111"/>
      <c r="P437" s="111"/>
    </row>
    <row r="438" spans="1:16" x14ac:dyDescent="0.3">
      <c r="C438" s="106"/>
      <c r="D438" s="120" t="s">
        <v>52</v>
      </c>
      <c r="E438" s="121"/>
      <c r="F438" s="3"/>
      <c r="G438" s="122"/>
      <c r="H438" s="122"/>
      <c r="I438" s="122"/>
      <c r="J438" s="119"/>
      <c r="K438" s="113"/>
      <c r="L438" s="113"/>
      <c r="M438" s="113"/>
      <c r="N438" s="113"/>
      <c r="O438" s="113"/>
      <c r="P438" s="113"/>
    </row>
    <row r="439" spans="1:16" x14ac:dyDescent="0.3">
      <c r="C439" s="114"/>
      <c r="D439" s="4" t="s">
        <v>158</v>
      </c>
      <c r="E439" s="124" t="s">
        <v>0</v>
      </c>
      <c r="F439" s="5">
        <v>1</v>
      </c>
      <c r="G439" s="6" t="s">
        <v>156</v>
      </c>
      <c r="H439" s="6">
        <f>63.63+80.54-73</f>
        <v>71.170000000000016</v>
      </c>
      <c r="I439" s="6"/>
      <c r="J439" s="125">
        <v>1</v>
      </c>
      <c r="K439" s="7"/>
      <c r="L439" s="7">
        <f>IF(F439="","",PRODUCT(F439:J439))</f>
        <v>71.170000000000016</v>
      </c>
      <c r="M439" s="111"/>
      <c r="N439" s="111"/>
      <c r="O439" s="111"/>
      <c r="P439" s="111"/>
    </row>
    <row r="440" spans="1:16" x14ac:dyDescent="0.3">
      <c r="C440" s="114"/>
      <c r="D440" s="117"/>
      <c r="E440" s="116"/>
      <c r="F440" s="109"/>
      <c r="G440" s="110"/>
      <c r="H440" s="110"/>
      <c r="I440" s="110"/>
      <c r="J440" s="112"/>
      <c r="K440" s="111"/>
      <c r="L440" s="111"/>
      <c r="M440" s="111"/>
      <c r="N440" s="111"/>
      <c r="O440" s="111"/>
      <c r="P440" s="111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honeticPr fontId="23" type="noConversion"/>
  <pageMargins left="0.70866141732283472" right="0.70866141732283472" top="0.74803149606299213" bottom="0.74803149606299213" header="0.31496062992125984" footer="0.31496062992125984"/>
  <pageSetup scale="68" orientation="portrait" blackAndWhite="1" r:id="rId1"/>
  <rowBreaks count="1" manualBreakCount="1">
    <brk id="425" max="15" man="1"/>
  </rowBreaks>
  <colBreaks count="1" manualBreakCount="1">
    <brk id="16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1D17-9740-4A65-A967-CA3957AEBBB8}">
  <dimension ref="A1:W135"/>
  <sheetViews>
    <sheetView view="pageBreakPreview" topLeftCell="B67" zoomScale="115" zoomScaleNormal="85" zoomScaleSheetLayoutView="115" workbookViewId="0">
      <selection activeCell="C26" sqref="C26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1042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7" s="83" customFormat="1" ht="13.2" x14ac:dyDescent="0.3">
      <c r="A17" s="75"/>
      <c r="B17" s="76"/>
      <c r="C17" s="77"/>
      <c r="D17" s="78" t="s">
        <v>1042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7" s="90" customFormat="1" x14ac:dyDescent="0.2">
      <c r="A18" s="84">
        <v>1</v>
      </c>
      <c r="B18" s="85"/>
      <c r="C18" s="155" t="s">
        <v>1186</v>
      </c>
      <c r="D18" s="87" t="s">
        <v>11</v>
      </c>
      <c r="E18" s="88"/>
      <c r="F18" s="1"/>
      <c r="G18" s="2"/>
      <c r="H18" s="2"/>
      <c r="I18" s="2"/>
      <c r="J18" s="3"/>
      <c r="K18" s="89"/>
      <c r="L18" s="89"/>
      <c r="M18" s="89"/>
      <c r="N18" s="89"/>
      <c r="O18" s="89"/>
      <c r="P18" s="89"/>
    </row>
    <row r="19" spans="1:17" s="14" customFormat="1" x14ac:dyDescent="0.2">
      <c r="A19" s="91">
        <v>2</v>
      </c>
      <c r="B19" s="92"/>
      <c r="C19" s="165" t="s">
        <v>1179</v>
      </c>
      <c r="D19" s="94" t="s">
        <v>89</v>
      </c>
      <c r="E19" s="95"/>
      <c r="F19" s="1"/>
      <c r="G19" s="2"/>
      <c r="H19" s="2"/>
      <c r="I19" s="2"/>
      <c r="J19" s="3"/>
      <c r="K19" s="96"/>
      <c r="L19" s="96"/>
      <c r="M19" s="96"/>
      <c r="N19" s="96"/>
      <c r="O19" s="96"/>
      <c r="P19" s="96"/>
    </row>
    <row r="20" spans="1:17" s="104" customFormat="1" x14ac:dyDescent="0.2">
      <c r="A20" s="98"/>
      <c r="B20" s="8"/>
      <c r="C20" s="99" t="s">
        <v>1180</v>
      </c>
      <c r="D20" s="100" t="s">
        <v>522</v>
      </c>
      <c r="E20" s="101" t="s">
        <v>0</v>
      </c>
      <c r="F20" s="1"/>
      <c r="G20" s="2"/>
      <c r="H20" s="2"/>
      <c r="I20" s="2"/>
      <c r="J20" s="102"/>
      <c r="K20" s="103"/>
      <c r="L20" s="103"/>
      <c r="M20" s="103"/>
      <c r="N20" s="103"/>
      <c r="O20" s="103"/>
      <c r="P20" s="103">
        <f>SUM(L21:L57)</f>
        <v>25.849999999999994</v>
      </c>
      <c r="Q20" s="8"/>
    </row>
    <row r="21" spans="1:17" x14ac:dyDescent="0.3">
      <c r="C21" s="106"/>
      <c r="D21" s="120" t="s">
        <v>1016</v>
      </c>
      <c r="E21" s="121"/>
      <c r="F21" s="3"/>
      <c r="G21" s="122"/>
      <c r="H21" s="122"/>
      <c r="I21" s="122"/>
      <c r="J21" s="119"/>
      <c r="K21" s="113"/>
      <c r="L21" s="113"/>
      <c r="M21" s="113"/>
      <c r="N21" s="113"/>
      <c r="O21" s="113"/>
      <c r="P21" s="113"/>
    </row>
    <row r="22" spans="1:17" x14ac:dyDescent="0.3">
      <c r="C22" s="106"/>
      <c r="D22" s="120" t="s">
        <v>127</v>
      </c>
      <c r="E22" s="303"/>
      <c r="F22" s="304"/>
      <c r="G22" s="305"/>
      <c r="H22" s="306" t="s">
        <v>1017</v>
      </c>
      <c r="I22" s="305"/>
      <c r="J22" s="304"/>
      <c r="K22" s="307"/>
      <c r="L22" s="307"/>
      <c r="M22" s="113"/>
      <c r="N22" s="113"/>
      <c r="O22" s="113"/>
      <c r="P22" s="113"/>
    </row>
    <row r="23" spans="1:17" x14ac:dyDescent="0.3">
      <c r="C23" s="308"/>
      <c r="D23" s="137" t="s">
        <v>1018</v>
      </c>
      <c r="E23" s="309"/>
      <c r="F23" s="310"/>
      <c r="G23" s="311"/>
      <c r="H23" s="311"/>
      <c r="I23" s="311"/>
      <c r="J23" s="312"/>
      <c r="K23" s="313"/>
      <c r="L23" s="313"/>
      <c r="M23" s="313"/>
      <c r="N23" s="313"/>
      <c r="O23" s="313"/>
      <c r="P23" s="313"/>
    </row>
    <row r="24" spans="1:17" x14ac:dyDescent="0.3">
      <c r="C24" s="114"/>
      <c r="D24" s="258" t="s">
        <v>1019</v>
      </c>
      <c r="E24" s="314" t="s">
        <v>0</v>
      </c>
      <c r="F24" s="250"/>
      <c r="G24" s="251"/>
      <c r="H24" s="251">
        <v>0.75</v>
      </c>
      <c r="I24" s="251">
        <v>3</v>
      </c>
      <c r="J24" s="250">
        <v>1</v>
      </c>
      <c r="K24" s="315"/>
      <c r="L24" s="251">
        <f t="shared" ref="L24:L31" si="0">PRODUCT(H24*I24*J24)</f>
        <v>2.25</v>
      </c>
      <c r="M24" s="111"/>
      <c r="N24" s="111"/>
      <c r="O24" s="111"/>
      <c r="P24" s="111"/>
    </row>
    <row r="25" spans="1:17" x14ac:dyDescent="0.3">
      <c r="C25" s="114"/>
      <c r="D25" s="258" t="s">
        <v>1020</v>
      </c>
      <c r="E25" s="314" t="s">
        <v>0</v>
      </c>
      <c r="F25" s="250"/>
      <c r="G25" s="251"/>
      <c r="H25" s="251">
        <v>2.1</v>
      </c>
      <c r="I25" s="251">
        <v>2</v>
      </c>
      <c r="J25" s="250">
        <v>1</v>
      </c>
      <c r="K25" s="315"/>
      <c r="L25" s="251">
        <f t="shared" si="0"/>
        <v>4.2</v>
      </c>
      <c r="M25" s="111"/>
      <c r="N25" s="111"/>
      <c r="O25" s="111"/>
      <c r="P25" s="111"/>
    </row>
    <row r="26" spans="1:17" x14ac:dyDescent="0.3">
      <c r="C26" s="114"/>
      <c r="D26" s="258" t="s">
        <v>1021</v>
      </c>
      <c r="E26" s="314" t="s">
        <v>0</v>
      </c>
      <c r="F26" s="250"/>
      <c r="G26" s="251"/>
      <c r="H26" s="251">
        <v>1</v>
      </c>
      <c r="I26" s="251">
        <v>3</v>
      </c>
      <c r="J26" s="250">
        <v>2</v>
      </c>
      <c r="K26" s="315"/>
      <c r="L26" s="251">
        <f t="shared" si="0"/>
        <v>6</v>
      </c>
      <c r="M26" s="111"/>
      <c r="N26" s="111"/>
      <c r="O26" s="111"/>
      <c r="P26" s="111"/>
    </row>
    <row r="27" spans="1:17" x14ac:dyDescent="0.3">
      <c r="C27" s="114"/>
      <c r="D27" s="258" t="s">
        <v>1022</v>
      </c>
      <c r="E27" s="314" t="s">
        <v>0</v>
      </c>
      <c r="F27" s="250"/>
      <c r="G27" s="251"/>
      <c r="H27" s="251">
        <v>0.75</v>
      </c>
      <c r="I27" s="251">
        <v>3</v>
      </c>
      <c r="J27" s="250">
        <v>1</v>
      </c>
      <c r="K27" s="315"/>
      <c r="L27" s="251">
        <f t="shared" si="0"/>
        <v>2.25</v>
      </c>
      <c r="M27" s="111"/>
      <c r="N27" s="111"/>
      <c r="O27" s="111"/>
      <c r="P27" s="111"/>
    </row>
    <row r="28" spans="1:17" x14ac:dyDescent="0.3">
      <c r="C28" s="114"/>
      <c r="D28" s="258" t="s">
        <v>1023</v>
      </c>
      <c r="E28" s="314" t="s">
        <v>0</v>
      </c>
      <c r="F28" s="250"/>
      <c r="G28" s="251"/>
      <c r="H28" s="251">
        <v>0.4</v>
      </c>
      <c r="I28" s="251">
        <v>2.1</v>
      </c>
      <c r="J28" s="250">
        <v>1</v>
      </c>
      <c r="K28" s="315"/>
      <c r="L28" s="251">
        <f t="shared" si="0"/>
        <v>0.84000000000000008</v>
      </c>
      <c r="M28" s="111"/>
      <c r="N28" s="111"/>
      <c r="O28" s="111"/>
      <c r="P28" s="111"/>
    </row>
    <row r="29" spans="1:17" x14ac:dyDescent="0.3">
      <c r="C29" s="114"/>
      <c r="D29" s="258" t="s">
        <v>1023</v>
      </c>
      <c r="E29" s="314" t="s">
        <v>0</v>
      </c>
      <c r="F29" s="250"/>
      <c r="G29" s="251"/>
      <c r="H29" s="251">
        <v>1.3</v>
      </c>
      <c r="I29" s="251">
        <v>3</v>
      </c>
      <c r="J29" s="250">
        <v>1</v>
      </c>
      <c r="K29" s="315"/>
      <c r="L29" s="251">
        <f t="shared" si="0"/>
        <v>3.9000000000000004</v>
      </c>
      <c r="M29" s="111"/>
      <c r="N29" s="111"/>
      <c r="O29" s="111"/>
      <c r="P29" s="111"/>
    </row>
    <row r="30" spans="1:17" x14ac:dyDescent="0.3">
      <c r="C30" s="114"/>
      <c r="D30" s="258" t="s">
        <v>1024</v>
      </c>
      <c r="E30" s="314" t="s">
        <v>0</v>
      </c>
      <c r="F30" s="250"/>
      <c r="G30" s="251"/>
      <c r="H30" s="251">
        <f>0.6+0.6+0.15</f>
        <v>1.3499999999999999</v>
      </c>
      <c r="I30" s="251">
        <v>3</v>
      </c>
      <c r="J30" s="250">
        <v>1</v>
      </c>
      <c r="K30" s="315"/>
      <c r="L30" s="251">
        <f t="shared" si="0"/>
        <v>4.05</v>
      </c>
      <c r="M30" s="111"/>
      <c r="N30" s="111"/>
      <c r="O30" s="111"/>
      <c r="P30" s="111"/>
    </row>
    <row r="31" spans="1:17" x14ac:dyDescent="0.3">
      <c r="C31" s="114"/>
      <c r="D31" s="258" t="s">
        <v>1025</v>
      </c>
      <c r="E31" s="314" t="s">
        <v>0</v>
      </c>
      <c r="F31" s="250"/>
      <c r="G31" s="251"/>
      <c r="H31" s="251">
        <v>3.1</v>
      </c>
      <c r="I31" s="251">
        <v>2.5</v>
      </c>
      <c r="J31" s="250">
        <v>1</v>
      </c>
      <c r="K31" s="315"/>
      <c r="L31" s="251">
        <f t="shared" si="0"/>
        <v>7.75</v>
      </c>
      <c r="M31" s="111"/>
      <c r="N31" s="111"/>
      <c r="O31" s="111"/>
      <c r="P31" s="111"/>
    </row>
    <row r="32" spans="1:17" x14ac:dyDescent="0.3">
      <c r="C32" s="106"/>
      <c r="D32" s="232" t="s">
        <v>865</v>
      </c>
      <c r="E32" s="260"/>
      <c r="F32" s="278"/>
      <c r="G32" s="256"/>
      <c r="H32" s="256"/>
      <c r="I32" s="256"/>
      <c r="J32" s="277"/>
      <c r="K32" s="231"/>
      <c r="L32" s="231"/>
      <c r="M32" s="113"/>
      <c r="N32" s="113"/>
      <c r="O32" s="113"/>
      <c r="P32" s="113"/>
    </row>
    <row r="33" spans="3:16" x14ac:dyDescent="0.3">
      <c r="C33" s="114"/>
      <c r="D33" s="258" t="s">
        <v>1026</v>
      </c>
      <c r="E33" s="314" t="s">
        <v>0</v>
      </c>
      <c r="F33" s="250">
        <v>2</v>
      </c>
      <c r="G33" s="251">
        <v>0.82</v>
      </c>
      <c r="H33" s="251"/>
      <c r="I33" s="251">
        <v>3</v>
      </c>
      <c r="J33" s="250">
        <v>1</v>
      </c>
      <c r="K33" s="315"/>
      <c r="L33" s="237">
        <f>PRODUCT(F33:J33)</f>
        <v>4.92</v>
      </c>
      <c r="M33" s="111"/>
      <c r="N33" s="111"/>
      <c r="O33" s="111"/>
      <c r="P33" s="111"/>
    </row>
    <row r="34" spans="3:16" x14ac:dyDescent="0.3">
      <c r="C34" s="114"/>
      <c r="D34" s="258"/>
      <c r="E34" s="239" t="s">
        <v>0</v>
      </c>
      <c r="F34" s="240">
        <v>2</v>
      </c>
      <c r="G34" s="241">
        <v>0.78</v>
      </c>
      <c r="H34" s="241"/>
      <c r="I34" s="241">
        <v>3</v>
      </c>
      <c r="J34" s="242">
        <v>1</v>
      </c>
      <c r="K34" s="237"/>
      <c r="L34" s="237">
        <f>PRODUCT(F34:J34)</f>
        <v>4.68</v>
      </c>
      <c r="M34" s="111"/>
      <c r="N34" s="111"/>
      <c r="O34" s="111"/>
      <c r="P34" s="111"/>
    </row>
    <row r="35" spans="3:16" x14ac:dyDescent="0.3">
      <c r="C35" s="114"/>
      <c r="D35" s="258" t="s">
        <v>1027</v>
      </c>
      <c r="E35" s="314" t="s">
        <v>0</v>
      </c>
      <c r="F35" s="250">
        <v>1</v>
      </c>
      <c r="G35" s="251"/>
      <c r="H35" s="251">
        <v>2.1</v>
      </c>
      <c r="I35" s="251">
        <v>0.25</v>
      </c>
      <c r="J35" s="250">
        <v>1</v>
      </c>
      <c r="K35" s="315"/>
      <c r="L35" s="237">
        <f>PRODUCT(F35:J35)</f>
        <v>0.52500000000000002</v>
      </c>
      <c r="M35" s="111"/>
      <c r="N35" s="111"/>
      <c r="O35" s="111"/>
      <c r="P35" s="111"/>
    </row>
    <row r="36" spans="3:16" x14ac:dyDescent="0.3">
      <c r="C36" s="106"/>
      <c r="D36" s="316" t="s">
        <v>186</v>
      </c>
      <c r="E36" s="262"/>
      <c r="F36" s="229"/>
      <c r="G36" s="230"/>
      <c r="H36" s="230"/>
      <c r="I36" s="231"/>
      <c r="J36" s="277"/>
      <c r="K36" s="231"/>
      <c r="L36" s="231"/>
      <c r="M36" s="113"/>
      <c r="N36" s="113"/>
      <c r="O36" s="113"/>
      <c r="P36" s="103"/>
    </row>
    <row r="37" spans="3:16" x14ac:dyDescent="0.3">
      <c r="C37" s="114"/>
      <c r="D37" s="233" t="s">
        <v>683</v>
      </c>
      <c r="E37" s="239" t="s">
        <v>0</v>
      </c>
      <c r="F37" s="235">
        <v>-1</v>
      </c>
      <c r="G37" s="236" t="s">
        <v>156</v>
      </c>
      <c r="H37" s="236">
        <v>17.52</v>
      </c>
      <c r="I37" s="237"/>
      <c r="J37" s="242">
        <v>1</v>
      </c>
      <c r="K37" s="237"/>
      <c r="L37" s="237">
        <f>IF(F37="","",PRODUCT(F37:J37))</f>
        <v>-17.52</v>
      </c>
      <c r="M37" s="111"/>
      <c r="N37" s="111"/>
      <c r="O37" s="111"/>
      <c r="P37" s="111"/>
    </row>
    <row r="38" spans="3:16" x14ac:dyDescent="0.3">
      <c r="C38" s="114"/>
      <c r="D38" s="233" t="s">
        <v>195</v>
      </c>
      <c r="E38" s="239" t="s">
        <v>0</v>
      </c>
      <c r="F38" s="235">
        <v>-1</v>
      </c>
      <c r="G38" s="236" t="s">
        <v>156</v>
      </c>
      <c r="H38" s="236">
        <v>10.920000000000002</v>
      </c>
      <c r="I38" s="237"/>
      <c r="J38" s="242">
        <v>1</v>
      </c>
      <c r="K38" s="237"/>
      <c r="L38" s="237">
        <f>IF(F38="","",PRODUCT(F38:J38))</f>
        <v>-10.920000000000002</v>
      </c>
      <c r="M38" s="111"/>
      <c r="N38" s="111"/>
      <c r="O38" s="111"/>
      <c r="P38" s="111"/>
    </row>
    <row r="39" spans="3:16" x14ac:dyDescent="0.3">
      <c r="C39" s="106"/>
      <c r="D39" s="267" t="s">
        <v>1028</v>
      </c>
      <c r="E39" s="228"/>
      <c r="F39" s="229"/>
      <c r="G39" s="230"/>
      <c r="H39" s="230"/>
      <c r="I39" s="230"/>
      <c r="J39" s="277"/>
      <c r="K39" s="231"/>
      <c r="L39" s="231"/>
      <c r="M39" s="113"/>
      <c r="N39" s="113"/>
      <c r="O39" s="113"/>
      <c r="P39" s="113"/>
    </row>
    <row r="40" spans="3:16" x14ac:dyDescent="0.3">
      <c r="C40" s="106"/>
      <c r="D40" s="267" t="s">
        <v>127</v>
      </c>
      <c r="E40" s="317"/>
      <c r="F40" s="318"/>
      <c r="G40" s="251"/>
      <c r="H40" s="319" t="s">
        <v>1017</v>
      </c>
      <c r="I40" s="251"/>
      <c r="J40" s="318"/>
      <c r="K40" s="320"/>
      <c r="L40" s="320"/>
      <c r="M40" s="113"/>
      <c r="N40" s="113"/>
      <c r="O40" s="113"/>
      <c r="P40" s="113"/>
    </row>
    <row r="41" spans="3:16" x14ac:dyDescent="0.3">
      <c r="C41" s="308"/>
      <c r="D41" s="232" t="s">
        <v>1018</v>
      </c>
      <c r="E41" s="321"/>
      <c r="F41" s="322"/>
      <c r="G41" s="323"/>
      <c r="H41" s="323"/>
      <c r="I41" s="323"/>
      <c r="J41" s="324"/>
      <c r="K41" s="325"/>
      <c r="L41" s="325"/>
      <c r="M41" s="313"/>
      <c r="N41" s="313"/>
      <c r="O41" s="313"/>
      <c r="P41" s="313"/>
    </row>
    <row r="42" spans="3:16" x14ac:dyDescent="0.3">
      <c r="C42" s="114"/>
      <c r="D42" s="258" t="s">
        <v>1019</v>
      </c>
      <c r="E42" s="314" t="s">
        <v>0</v>
      </c>
      <c r="F42" s="250"/>
      <c r="G42" s="251"/>
      <c r="H42" s="251">
        <v>0.75</v>
      </c>
      <c r="I42" s="251">
        <v>3</v>
      </c>
      <c r="J42" s="250">
        <v>1</v>
      </c>
      <c r="K42" s="315"/>
      <c r="L42" s="251">
        <f t="shared" ref="L42:L49" si="1">PRODUCT(H42*I42*J42)</f>
        <v>2.25</v>
      </c>
      <c r="M42" s="111"/>
      <c r="N42" s="111"/>
      <c r="O42" s="111"/>
      <c r="P42" s="111"/>
    </row>
    <row r="43" spans="3:16" x14ac:dyDescent="0.3">
      <c r="C43" s="114"/>
      <c r="D43" s="258" t="s">
        <v>1020</v>
      </c>
      <c r="E43" s="314" t="s">
        <v>0</v>
      </c>
      <c r="F43" s="250"/>
      <c r="G43" s="251"/>
      <c r="H43" s="251">
        <v>2.1</v>
      </c>
      <c r="I43" s="251">
        <v>2</v>
      </c>
      <c r="J43" s="250">
        <v>1</v>
      </c>
      <c r="K43" s="315"/>
      <c r="L43" s="251">
        <f t="shared" si="1"/>
        <v>4.2</v>
      </c>
      <c r="M43" s="111"/>
      <c r="N43" s="111"/>
      <c r="O43" s="111"/>
      <c r="P43" s="111"/>
    </row>
    <row r="44" spans="3:16" x14ac:dyDescent="0.3">
      <c r="C44" s="114"/>
      <c r="D44" s="258" t="s">
        <v>1021</v>
      </c>
      <c r="E44" s="314" t="s">
        <v>0</v>
      </c>
      <c r="F44" s="250"/>
      <c r="G44" s="251"/>
      <c r="H44" s="251">
        <v>1</v>
      </c>
      <c r="I44" s="251">
        <v>3</v>
      </c>
      <c r="J44" s="250">
        <v>2</v>
      </c>
      <c r="K44" s="315"/>
      <c r="L44" s="251">
        <f t="shared" si="1"/>
        <v>6</v>
      </c>
      <c r="M44" s="111"/>
      <c r="N44" s="111"/>
      <c r="O44" s="111"/>
      <c r="P44" s="111"/>
    </row>
    <row r="45" spans="3:16" x14ac:dyDescent="0.3">
      <c r="C45" s="114"/>
      <c r="D45" s="258" t="s">
        <v>1022</v>
      </c>
      <c r="E45" s="314" t="s">
        <v>0</v>
      </c>
      <c r="F45" s="250"/>
      <c r="G45" s="251"/>
      <c r="H45" s="251">
        <v>0.75</v>
      </c>
      <c r="I45" s="251">
        <v>3</v>
      </c>
      <c r="J45" s="250">
        <v>1</v>
      </c>
      <c r="K45" s="315"/>
      <c r="L45" s="251">
        <f t="shared" si="1"/>
        <v>2.25</v>
      </c>
      <c r="M45" s="111"/>
      <c r="N45" s="111"/>
      <c r="O45" s="111"/>
      <c r="P45" s="111"/>
    </row>
    <row r="46" spans="3:16" x14ac:dyDescent="0.3">
      <c r="C46" s="114"/>
      <c r="D46" s="258" t="s">
        <v>1023</v>
      </c>
      <c r="E46" s="314" t="s">
        <v>0</v>
      </c>
      <c r="F46" s="250"/>
      <c r="G46" s="251"/>
      <c r="H46" s="251">
        <v>0.4</v>
      </c>
      <c r="I46" s="251">
        <v>2.1</v>
      </c>
      <c r="J46" s="250">
        <v>1</v>
      </c>
      <c r="K46" s="315"/>
      <c r="L46" s="251">
        <f t="shared" si="1"/>
        <v>0.84000000000000008</v>
      </c>
      <c r="M46" s="111"/>
      <c r="N46" s="111"/>
      <c r="O46" s="111"/>
      <c r="P46" s="111"/>
    </row>
    <row r="47" spans="3:16" x14ac:dyDescent="0.3">
      <c r="C47" s="114"/>
      <c r="D47" s="258" t="s">
        <v>1023</v>
      </c>
      <c r="E47" s="314" t="s">
        <v>0</v>
      </c>
      <c r="F47" s="250"/>
      <c r="G47" s="251"/>
      <c r="H47" s="251">
        <v>1.3</v>
      </c>
      <c r="I47" s="251">
        <v>3</v>
      </c>
      <c r="J47" s="250">
        <v>1</v>
      </c>
      <c r="K47" s="315"/>
      <c r="L47" s="251">
        <f t="shared" si="1"/>
        <v>3.9000000000000004</v>
      </c>
      <c r="M47" s="111"/>
      <c r="N47" s="111"/>
      <c r="O47" s="111"/>
      <c r="P47" s="111"/>
    </row>
    <row r="48" spans="3:16" x14ac:dyDescent="0.3">
      <c r="C48" s="114"/>
      <c r="D48" s="258" t="s">
        <v>1024</v>
      </c>
      <c r="E48" s="314" t="s">
        <v>0</v>
      </c>
      <c r="F48" s="250"/>
      <c r="G48" s="251"/>
      <c r="H48" s="251">
        <f>0.6+0.6+0.15</f>
        <v>1.3499999999999999</v>
      </c>
      <c r="I48" s="251">
        <v>3</v>
      </c>
      <c r="J48" s="250">
        <v>1</v>
      </c>
      <c r="K48" s="315"/>
      <c r="L48" s="251">
        <f t="shared" si="1"/>
        <v>4.05</v>
      </c>
      <c r="M48" s="111"/>
      <c r="N48" s="111"/>
      <c r="O48" s="111"/>
      <c r="P48" s="111"/>
    </row>
    <row r="49" spans="3:16" x14ac:dyDescent="0.3">
      <c r="C49" s="114"/>
      <c r="D49" s="258" t="s">
        <v>1025</v>
      </c>
      <c r="E49" s="314" t="s">
        <v>0</v>
      </c>
      <c r="F49" s="250"/>
      <c r="G49" s="251"/>
      <c r="H49" s="251">
        <v>3.1</v>
      </c>
      <c r="I49" s="251">
        <v>2.5</v>
      </c>
      <c r="J49" s="250">
        <v>1</v>
      </c>
      <c r="K49" s="315"/>
      <c r="L49" s="251">
        <f t="shared" si="1"/>
        <v>7.75</v>
      </c>
      <c r="M49" s="111"/>
      <c r="N49" s="111"/>
      <c r="O49" s="111"/>
      <c r="P49" s="111"/>
    </row>
    <row r="50" spans="3:16" x14ac:dyDescent="0.3">
      <c r="C50" s="106"/>
      <c r="D50" s="232" t="s">
        <v>865</v>
      </c>
      <c r="E50" s="260"/>
      <c r="F50" s="278"/>
      <c r="G50" s="256"/>
      <c r="H50" s="256"/>
      <c r="I50" s="256"/>
      <c r="J50" s="277"/>
      <c r="K50" s="231"/>
      <c r="L50" s="231"/>
      <c r="M50" s="113"/>
      <c r="N50" s="113"/>
      <c r="O50" s="113"/>
      <c r="P50" s="113"/>
    </row>
    <row r="51" spans="3:16" x14ac:dyDescent="0.3">
      <c r="C51" s="114"/>
      <c r="D51" s="258" t="s">
        <v>1026</v>
      </c>
      <c r="E51" s="314" t="s">
        <v>0</v>
      </c>
      <c r="F51" s="250">
        <v>2</v>
      </c>
      <c r="G51" s="251">
        <v>0.82</v>
      </c>
      <c r="H51" s="251"/>
      <c r="I51" s="251">
        <v>3</v>
      </c>
      <c r="J51" s="250">
        <v>1</v>
      </c>
      <c r="K51" s="315"/>
      <c r="L51" s="237">
        <f>PRODUCT(F51:J51)</f>
        <v>4.92</v>
      </c>
      <c r="M51" s="111"/>
      <c r="N51" s="111"/>
      <c r="O51" s="111"/>
      <c r="P51" s="111"/>
    </row>
    <row r="52" spans="3:16" x14ac:dyDescent="0.3">
      <c r="C52" s="114"/>
      <c r="D52" s="258"/>
      <c r="E52" s="239" t="s">
        <v>0</v>
      </c>
      <c r="F52" s="240">
        <v>2</v>
      </c>
      <c r="G52" s="241">
        <v>0.78</v>
      </c>
      <c r="H52" s="241"/>
      <c r="I52" s="241">
        <v>3</v>
      </c>
      <c r="J52" s="242">
        <v>1</v>
      </c>
      <c r="K52" s="237"/>
      <c r="L52" s="237">
        <f>PRODUCT(F52:J52)</f>
        <v>4.68</v>
      </c>
      <c r="M52" s="111"/>
      <c r="N52" s="111"/>
      <c r="O52" s="111"/>
      <c r="P52" s="111"/>
    </row>
    <row r="53" spans="3:16" x14ac:dyDescent="0.3">
      <c r="C53" s="114"/>
      <c r="D53" s="258" t="s">
        <v>1027</v>
      </c>
      <c r="E53" s="314" t="s">
        <v>0</v>
      </c>
      <c r="F53" s="250">
        <v>1</v>
      </c>
      <c r="G53" s="251"/>
      <c r="H53" s="251">
        <v>2.1</v>
      </c>
      <c r="I53" s="251">
        <v>0.25</v>
      </c>
      <c r="J53" s="250">
        <v>1</v>
      </c>
      <c r="K53" s="315"/>
      <c r="L53" s="237">
        <f>PRODUCT(F53:J53)</f>
        <v>0.52500000000000002</v>
      </c>
      <c r="M53" s="111"/>
      <c r="N53" s="111"/>
      <c r="O53" s="111"/>
      <c r="P53" s="111"/>
    </row>
    <row r="54" spans="3:16" x14ac:dyDescent="0.3">
      <c r="C54" s="106"/>
      <c r="D54" s="316" t="s">
        <v>186</v>
      </c>
      <c r="E54" s="262"/>
      <c r="F54" s="229"/>
      <c r="G54" s="230"/>
      <c r="H54" s="230"/>
      <c r="I54" s="231"/>
      <c r="J54" s="277"/>
      <c r="K54" s="231"/>
      <c r="L54" s="231"/>
      <c r="M54" s="113"/>
      <c r="N54" s="113"/>
      <c r="O54" s="113"/>
      <c r="P54" s="103"/>
    </row>
    <row r="55" spans="3:16" x14ac:dyDescent="0.3">
      <c r="C55" s="114"/>
      <c r="D55" s="233" t="s">
        <v>683</v>
      </c>
      <c r="E55" s="239" t="s">
        <v>0</v>
      </c>
      <c r="F55" s="235">
        <v>-1</v>
      </c>
      <c r="G55" s="236" t="s">
        <v>156</v>
      </c>
      <c r="H55" s="236">
        <v>17.52</v>
      </c>
      <c r="I55" s="237"/>
      <c r="J55" s="242">
        <v>1</v>
      </c>
      <c r="K55" s="237"/>
      <c r="L55" s="237">
        <f>IF(F55="","",PRODUCT(F55:J55))</f>
        <v>-17.52</v>
      </c>
      <c r="M55" s="111"/>
      <c r="N55" s="111"/>
      <c r="O55" s="111"/>
      <c r="P55" s="111"/>
    </row>
    <row r="56" spans="3:16" x14ac:dyDescent="0.3">
      <c r="C56" s="114"/>
      <c r="D56" s="233" t="s">
        <v>195</v>
      </c>
      <c r="E56" s="239" t="s">
        <v>0</v>
      </c>
      <c r="F56" s="235">
        <v>-1</v>
      </c>
      <c r="G56" s="236" t="s">
        <v>156</v>
      </c>
      <c r="H56" s="236">
        <v>10.920000000000002</v>
      </c>
      <c r="I56" s="237"/>
      <c r="J56" s="242">
        <v>1</v>
      </c>
      <c r="K56" s="237"/>
      <c r="L56" s="237">
        <f>IF(F56="","",PRODUCT(F56:J56))</f>
        <v>-10.920000000000002</v>
      </c>
      <c r="M56" s="111"/>
      <c r="N56" s="111"/>
      <c r="O56" s="111"/>
      <c r="P56" s="111"/>
    </row>
    <row r="57" spans="3:16" x14ac:dyDescent="0.3">
      <c r="C57" s="326"/>
      <c r="D57" s="327"/>
      <c r="E57" s="328"/>
      <c r="F57" s="329"/>
      <c r="G57" s="330"/>
      <c r="H57" s="330"/>
      <c r="I57" s="330"/>
      <c r="J57" s="329"/>
      <c r="K57" s="331"/>
      <c r="L57" s="331"/>
      <c r="M57" s="331"/>
      <c r="N57" s="331"/>
      <c r="O57" s="331"/>
      <c r="P57" s="331"/>
    </row>
    <row r="58" spans="3:16" x14ac:dyDescent="0.3">
      <c r="C58" s="99" t="s">
        <v>1182</v>
      </c>
      <c r="D58" s="100" t="s">
        <v>520</v>
      </c>
      <c r="E58" s="101" t="s">
        <v>0</v>
      </c>
      <c r="F58" s="1"/>
      <c r="G58" s="2"/>
      <c r="H58" s="2"/>
      <c r="I58" s="2"/>
      <c r="J58" s="102"/>
      <c r="K58" s="103"/>
      <c r="L58" s="103"/>
      <c r="M58" s="103"/>
      <c r="N58" s="103"/>
      <c r="O58" s="103"/>
      <c r="P58" s="103">
        <f>SUM(L58:L71)</f>
        <v>13.1</v>
      </c>
    </row>
    <row r="59" spans="3:16" x14ac:dyDescent="0.3">
      <c r="C59" s="106"/>
      <c r="D59" s="120" t="s">
        <v>1016</v>
      </c>
      <c r="E59" s="121"/>
      <c r="F59" s="3"/>
      <c r="G59" s="122"/>
      <c r="H59" s="122"/>
      <c r="I59" s="122"/>
      <c r="J59" s="119"/>
      <c r="K59" s="113"/>
      <c r="L59" s="113"/>
      <c r="M59" s="113"/>
      <c r="N59" s="113"/>
      <c r="O59" s="113"/>
      <c r="P59" s="113"/>
    </row>
    <row r="60" spans="3:16" x14ac:dyDescent="0.3">
      <c r="C60" s="106"/>
      <c r="D60" s="120" t="s">
        <v>127</v>
      </c>
      <c r="E60" s="121"/>
      <c r="F60" s="3"/>
      <c r="G60" s="122" t="s">
        <v>198</v>
      </c>
      <c r="H60" s="122"/>
      <c r="I60" s="122"/>
      <c r="J60" s="3"/>
      <c r="K60" s="113"/>
      <c r="L60" s="113"/>
      <c r="M60" s="113"/>
      <c r="N60" s="113"/>
      <c r="O60" s="113"/>
      <c r="P60" s="113"/>
    </row>
    <row r="61" spans="3:16" x14ac:dyDescent="0.3">
      <c r="C61" s="114"/>
      <c r="D61" s="233" t="s">
        <v>1029</v>
      </c>
      <c r="E61" s="234" t="s">
        <v>0</v>
      </c>
      <c r="F61" s="235">
        <v>1</v>
      </c>
      <c r="G61" s="236">
        <v>0.85</v>
      </c>
      <c r="H61" s="236"/>
      <c r="I61" s="236">
        <v>3</v>
      </c>
      <c r="J61" s="235">
        <v>1</v>
      </c>
      <c r="K61" s="237"/>
      <c r="L61" s="237">
        <f t="shared" ref="L61:L64" si="2">IF(F61="","",PRODUCT(F61:J61))</f>
        <v>2.5499999999999998</v>
      </c>
      <c r="M61" s="111"/>
      <c r="N61" s="111"/>
      <c r="O61" s="111"/>
      <c r="P61" s="111"/>
    </row>
    <row r="62" spans="3:16" x14ac:dyDescent="0.3">
      <c r="C62" s="114"/>
      <c r="D62" s="233" t="s">
        <v>1030</v>
      </c>
      <c r="E62" s="234" t="s">
        <v>0</v>
      </c>
      <c r="F62" s="235">
        <v>1</v>
      </c>
      <c r="G62" s="236">
        <v>0.5</v>
      </c>
      <c r="H62" s="236"/>
      <c r="I62" s="236">
        <v>2.5</v>
      </c>
      <c r="J62" s="235">
        <v>1</v>
      </c>
      <c r="K62" s="237"/>
      <c r="L62" s="237">
        <f t="shared" si="2"/>
        <v>1.25</v>
      </c>
      <c r="M62" s="111"/>
      <c r="N62" s="111"/>
      <c r="O62" s="111"/>
      <c r="P62" s="111"/>
    </row>
    <row r="63" spans="3:16" x14ac:dyDescent="0.3">
      <c r="C63" s="114"/>
      <c r="D63" s="233" t="s">
        <v>1031</v>
      </c>
      <c r="E63" s="234" t="s">
        <v>0</v>
      </c>
      <c r="F63" s="235">
        <v>1</v>
      </c>
      <c r="G63" s="236">
        <v>0.5</v>
      </c>
      <c r="H63" s="236"/>
      <c r="I63" s="236">
        <v>3</v>
      </c>
      <c r="J63" s="235">
        <v>1</v>
      </c>
      <c r="K63" s="237"/>
      <c r="L63" s="237">
        <f t="shared" si="2"/>
        <v>1.5</v>
      </c>
      <c r="M63" s="111"/>
      <c r="N63" s="111"/>
      <c r="O63" s="111"/>
      <c r="P63" s="111"/>
    </row>
    <row r="64" spans="3:16" x14ac:dyDescent="0.3">
      <c r="C64" s="114"/>
      <c r="D64" s="233" t="s">
        <v>1032</v>
      </c>
      <c r="E64" s="234" t="s">
        <v>0</v>
      </c>
      <c r="F64" s="235">
        <v>1</v>
      </c>
      <c r="G64" s="236">
        <v>0.5</v>
      </c>
      <c r="H64" s="236"/>
      <c r="I64" s="236">
        <v>2.5</v>
      </c>
      <c r="J64" s="235">
        <v>1</v>
      </c>
      <c r="K64" s="237"/>
      <c r="L64" s="237">
        <f t="shared" si="2"/>
        <v>1.25</v>
      </c>
      <c r="M64" s="111"/>
      <c r="N64" s="111"/>
      <c r="O64" s="111"/>
      <c r="P64" s="111"/>
    </row>
    <row r="65" spans="3:16" x14ac:dyDescent="0.3">
      <c r="C65" s="106"/>
      <c r="D65" s="120" t="s">
        <v>1028</v>
      </c>
      <c r="E65" s="121"/>
      <c r="F65" s="3"/>
      <c r="G65" s="122"/>
      <c r="H65" s="122"/>
      <c r="I65" s="122"/>
      <c r="J65" s="119"/>
      <c r="K65" s="113"/>
      <c r="L65" s="113"/>
      <c r="M65" s="113"/>
      <c r="N65" s="113"/>
      <c r="O65" s="113"/>
      <c r="P65" s="113"/>
    </row>
    <row r="66" spans="3:16" x14ac:dyDescent="0.3">
      <c r="C66" s="106"/>
      <c r="D66" s="120" t="s">
        <v>127</v>
      </c>
      <c r="E66" s="121"/>
      <c r="F66" s="3"/>
      <c r="G66" s="122" t="s">
        <v>198</v>
      </c>
      <c r="H66" s="122"/>
      <c r="I66" s="122"/>
      <c r="J66" s="3"/>
      <c r="K66" s="113"/>
      <c r="L66" s="113"/>
      <c r="M66" s="113"/>
      <c r="N66" s="113"/>
      <c r="O66" s="113"/>
      <c r="P66" s="113"/>
    </row>
    <row r="67" spans="3:16" x14ac:dyDescent="0.3">
      <c r="C67" s="114"/>
      <c r="D67" s="233" t="s">
        <v>1029</v>
      </c>
      <c r="E67" s="234" t="s">
        <v>0</v>
      </c>
      <c r="F67" s="235">
        <v>1</v>
      </c>
      <c r="G67" s="236">
        <v>0.85</v>
      </c>
      <c r="H67" s="236"/>
      <c r="I67" s="236">
        <v>3</v>
      </c>
      <c r="J67" s="235">
        <v>1</v>
      </c>
      <c r="K67" s="237"/>
      <c r="L67" s="237">
        <f t="shared" ref="L67:L70" si="3">IF(F67="","",PRODUCT(F67:J67))</f>
        <v>2.5499999999999998</v>
      </c>
      <c r="M67" s="111"/>
      <c r="N67" s="111"/>
      <c r="O67" s="111"/>
      <c r="P67" s="111"/>
    </row>
    <row r="68" spans="3:16" x14ac:dyDescent="0.3">
      <c r="C68" s="114"/>
      <c r="D68" s="233" t="s">
        <v>1030</v>
      </c>
      <c r="E68" s="234" t="s">
        <v>0</v>
      </c>
      <c r="F68" s="235">
        <v>1</v>
      </c>
      <c r="G68" s="236">
        <v>0.5</v>
      </c>
      <c r="H68" s="236"/>
      <c r="I68" s="236">
        <v>2.5</v>
      </c>
      <c r="J68" s="235">
        <v>1</v>
      </c>
      <c r="K68" s="237"/>
      <c r="L68" s="237">
        <f t="shared" si="3"/>
        <v>1.25</v>
      </c>
      <c r="M68" s="111"/>
      <c r="N68" s="111"/>
      <c r="O68" s="111"/>
      <c r="P68" s="111"/>
    </row>
    <row r="69" spans="3:16" x14ac:dyDescent="0.3">
      <c r="C69" s="114"/>
      <c r="D69" s="233" t="s">
        <v>1031</v>
      </c>
      <c r="E69" s="234" t="s">
        <v>0</v>
      </c>
      <c r="F69" s="235">
        <v>1</v>
      </c>
      <c r="G69" s="236">
        <v>0.5</v>
      </c>
      <c r="H69" s="236"/>
      <c r="I69" s="236">
        <v>3</v>
      </c>
      <c r="J69" s="235">
        <v>1</v>
      </c>
      <c r="K69" s="237"/>
      <c r="L69" s="237">
        <f t="shared" si="3"/>
        <v>1.5</v>
      </c>
      <c r="M69" s="111"/>
      <c r="N69" s="111"/>
      <c r="O69" s="111"/>
      <c r="P69" s="111"/>
    </row>
    <row r="70" spans="3:16" x14ac:dyDescent="0.3">
      <c r="C70" s="114"/>
      <c r="D70" s="233" t="s">
        <v>1032</v>
      </c>
      <c r="E70" s="234" t="s">
        <v>0</v>
      </c>
      <c r="F70" s="235">
        <v>1</v>
      </c>
      <c r="G70" s="236">
        <v>0.5</v>
      </c>
      <c r="H70" s="236"/>
      <c r="I70" s="236">
        <v>2.5</v>
      </c>
      <c r="J70" s="235">
        <v>1</v>
      </c>
      <c r="K70" s="237"/>
      <c r="L70" s="237">
        <f t="shared" si="3"/>
        <v>1.25</v>
      </c>
      <c r="M70" s="111"/>
      <c r="N70" s="111"/>
      <c r="O70" s="111"/>
      <c r="P70" s="111"/>
    </row>
    <row r="71" spans="3:16" x14ac:dyDescent="0.3">
      <c r="C71" s="114"/>
      <c r="D71" s="265"/>
      <c r="E71" s="116"/>
      <c r="F71" s="109"/>
      <c r="G71" s="110"/>
      <c r="H71" s="110"/>
      <c r="I71" s="110"/>
      <c r="J71" s="109"/>
      <c r="K71" s="111"/>
      <c r="L71" s="111"/>
      <c r="M71" s="111"/>
      <c r="N71" s="111"/>
      <c r="O71" s="111"/>
      <c r="P71" s="111"/>
    </row>
    <row r="72" spans="3:16" x14ac:dyDescent="0.3">
      <c r="C72" s="99" t="s">
        <v>1183</v>
      </c>
      <c r="D72" s="226" t="s">
        <v>519</v>
      </c>
      <c r="E72" s="101" t="s">
        <v>0</v>
      </c>
      <c r="F72" s="1"/>
      <c r="G72" s="2"/>
      <c r="H72" s="2"/>
      <c r="I72" s="2"/>
      <c r="J72" s="3"/>
      <c r="K72" s="103"/>
      <c r="L72" s="103"/>
      <c r="M72" s="103"/>
      <c r="N72" s="103"/>
      <c r="O72" s="103"/>
      <c r="P72" s="103">
        <f>SUM(L72:L100)</f>
        <v>2.024</v>
      </c>
    </row>
    <row r="73" spans="3:16" x14ac:dyDescent="0.3">
      <c r="C73" s="106"/>
      <c r="D73" s="115" t="s">
        <v>127</v>
      </c>
      <c r="E73" s="121"/>
      <c r="F73" s="3"/>
      <c r="G73" s="122"/>
      <c r="H73" s="122"/>
      <c r="I73" s="122"/>
      <c r="J73" s="3"/>
      <c r="K73" s="113"/>
      <c r="L73" s="113"/>
      <c r="M73" s="113"/>
      <c r="N73" s="113"/>
      <c r="O73" s="113"/>
      <c r="P73" s="113"/>
    </row>
    <row r="74" spans="3:16" x14ac:dyDescent="0.3">
      <c r="C74" s="106"/>
      <c r="D74" s="120" t="s">
        <v>1016</v>
      </c>
      <c r="E74" s="121"/>
      <c r="F74" s="3"/>
      <c r="G74" s="122"/>
      <c r="H74" s="122"/>
      <c r="I74" s="122"/>
      <c r="J74" s="119"/>
      <c r="K74" s="113"/>
      <c r="L74" s="113"/>
      <c r="M74" s="113"/>
      <c r="N74" s="113"/>
      <c r="O74" s="113"/>
      <c r="P74" s="113"/>
    </row>
    <row r="75" spans="3:16" x14ac:dyDescent="0.3">
      <c r="C75" s="106"/>
      <c r="D75" s="233" t="s">
        <v>1033</v>
      </c>
      <c r="E75" s="234" t="s">
        <v>0</v>
      </c>
      <c r="F75" s="235">
        <v>1</v>
      </c>
      <c r="G75" s="236">
        <v>1.25</v>
      </c>
      <c r="H75" s="236">
        <v>0.05</v>
      </c>
      <c r="I75" s="236"/>
      <c r="J75" s="235">
        <v>1</v>
      </c>
      <c r="K75" s="249"/>
      <c r="L75" s="237">
        <f t="shared" ref="L75:L86" si="4">((I75)+H75)*F75*G75*J75</f>
        <v>6.25E-2</v>
      </c>
      <c r="M75" s="113"/>
      <c r="N75" s="113"/>
      <c r="O75" s="113"/>
      <c r="P75" s="113"/>
    </row>
    <row r="76" spans="3:16" x14ac:dyDescent="0.3">
      <c r="C76" s="106"/>
      <c r="D76" s="233" t="s">
        <v>1023</v>
      </c>
      <c r="E76" s="234" t="s">
        <v>0</v>
      </c>
      <c r="F76" s="235">
        <v>1</v>
      </c>
      <c r="G76" s="236">
        <v>1.95</v>
      </c>
      <c r="H76" s="236">
        <v>0.05</v>
      </c>
      <c r="I76" s="236"/>
      <c r="J76" s="235">
        <v>1</v>
      </c>
      <c r="K76" s="249"/>
      <c r="L76" s="237">
        <f t="shared" si="4"/>
        <v>9.7500000000000003E-2</v>
      </c>
      <c r="M76" s="113"/>
      <c r="N76" s="113"/>
      <c r="O76" s="113"/>
      <c r="P76" s="113"/>
    </row>
    <row r="77" spans="3:16" x14ac:dyDescent="0.3">
      <c r="C77" s="114"/>
      <c r="D77" s="233" t="s">
        <v>1024</v>
      </c>
      <c r="E77" s="234" t="s">
        <v>0</v>
      </c>
      <c r="F77" s="235">
        <v>1</v>
      </c>
      <c r="G77" s="236">
        <v>0.6</v>
      </c>
      <c r="H77" s="236">
        <v>0.05</v>
      </c>
      <c r="I77" s="236"/>
      <c r="J77" s="235">
        <v>1</v>
      </c>
      <c r="K77" s="249"/>
      <c r="L77" s="237">
        <f t="shared" si="4"/>
        <v>0.03</v>
      </c>
      <c r="M77" s="111"/>
      <c r="N77" s="111"/>
      <c r="O77" s="111"/>
      <c r="P77" s="111"/>
    </row>
    <row r="78" spans="3:16" x14ac:dyDescent="0.3">
      <c r="C78" s="114"/>
      <c r="D78" s="233"/>
      <c r="E78" s="234" t="s">
        <v>0</v>
      </c>
      <c r="F78" s="235">
        <v>1</v>
      </c>
      <c r="G78" s="236">
        <v>0.9</v>
      </c>
      <c r="H78" s="236">
        <v>0.2</v>
      </c>
      <c r="I78" s="236"/>
      <c r="J78" s="235">
        <v>1</v>
      </c>
      <c r="K78" s="249"/>
      <c r="L78" s="237">
        <f t="shared" si="4"/>
        <v>0.18000000000000002</v>
      </c>
      <c r="M78" s="111"/>
      <c r="N78" s="111"/>
      <c r="O78" s="111"/>
      <c r="P78" s="111"/>
    </row>
    <row r="79" spans="3:16" x14ac:dyDescent="0.3">
      <c r="C79" s="114"/>
      <c r="D79" s="233" t="s">
        <v>1026</v>
      </c>
      <c r="E79" s="234" t="s">
        <v>0</v>
      </c>
      <c r="F79" s="235">
        <v>1</v>
      </c>
      <c r="G79" s="236">
        <v>0.67</v>
      </c>
      <c r="H79" s="236">
        <v>0.05</v>
      </c>
      <c r="I79" s="236"/>
      <c r="J79" s="235">
        <v>1</v>
      </c>
      <c r="K79" s="249"/>
      <c r="L79" s="237">
        <f t="shared" si="4"/>
        <v>3.3500000000000002E-2</v>
      </c>
      <c r="M79" s="111"/>
      <c r="N79" s="111"/>
      <c r="O79" s="111"/>
      <c r="P79" s="111"/>
    </row>
    <row r="80" spans="3:16" x14ac:dyDescent="0.3">
      <c r="C80" s="114"/>
      <c r="D80" s="233"/>
      <c r="E80" s="234" t="s">
        <v>0</v>
      </c>
      <c r="F80" s="235">
        <v>1</v>
      </c>
      <c r="G80" s="236">
        <v>0.7</v>
      </c>
      <c r="H80" s="236">
        <v>0.2</v>
      </c>
      <c r="I80" s="236"/>
      <c r="J80" s="235">
        <v>1</v>
      </c>
      <c r="K80" s="249"/>
      <c r="L80" s="237">
        <f t="shared" si="4"/>
        <v>0.13999999999999999</v>
      </c>
      <c r="M80" s="111"/>
      <c r="N80" s="111"/>
      <c r="O80" s="111"/>
      <c r="P80" s="111"/>
    </row>
    <row r="81" spans="3:16" x14ac:dyDescent="0.3">
      <c r="C81" s="114"/>
      <c r="D81" s="233"/>
      <c r="E81" s="234" t="s">
        <v>0</v>
      </c>
      <c r="F81" s="235">
        <v>1</v>
      </c>
      <c r="G81" s="236">
        <v>0.56999999999999995</v>
      </c>
      <c r="H81" s="236">
        <v>0.05</v>
      </c>
      <c r="I81" s="236"/>
      <c r="J81" s="235">
        <v>1</v>
      </c>
      <c r="K81" s="249"/>
      <c r="L81" s="237">
        <f t="shared" si="4"/>
        <v>2.8499999999999998E-2</v>
      </c>
      <c r="M81" s="111"/>
      <c r="N81" s="111"/>
      <c r="O81" s="111"/>
      <c r="P81" s="111"/>
    </row>
    <row r="82" spans="3:16" x14ac:dyDescent="0.3">
      <c r="C82" s="114"/>
      <c r="D82" s="233" t="s">
        <v>1034</v>
      </c>
      <c r="E82" s="234" t="s">
        <v>0</v>
      </c>
      <c r="F82" s="235">
        <v>1</v>
      </c>
      <c r="G82" s="236">
        <v>3.1</v>
      </c>
      <c r="H82" s="236">
        <v>0.05</v>
      </c>
      <c r="I82" s="236"/>
      <c r="J82" s="235">
        <v>1</v>
      </c>
      <c r="K82" s="249"/>
      <c r="L82" s="237">
        <f t="shared" si="4"/>
        <v>0.15500000000000003</v>
      </c>
      <c r="M82" s="111"/>
      <c r="N82" s="111"/>
      <c r="O82" s="111"/>
      <c r="P82" s="111"/>
    </row>
    <row r="83" spans="3:16" x14ac:dyDescent="0.3">
      <c r="C83" s="114"/>
      <c r="D83" s="233" t="s">
        <v>1019</v>
      </c>
      <c r="E83" s="234" t="s">
        <v>0</v>
      </c>
      <c r="F83" s="235">
        <v>1</v>
      </c>
      <c r="G83" s="236">
        <v>0.75</v>
      </c>
      <c r="H83" s="236">
        <v>0.05</v>
      </c>
      <c r="I83" s="236"/>
      <c r="J83" s="235">
        <v>1</v>
      </c>
      <c r="K83" s="249"/>
      <c r="L83" s="237">
        <f t="shared" si="4"/>
        <v>3.7500000000000006E-2</v>
      </c>
      <c r="M83" s="111"/>
      <c r="N83" s="111"/>
      <c r="O83" s="111"/>
      <c r="P83" s="111"/>
    </row>
    <row r="84" spans="3:16" x14ac:dyDescent="0.3">
      <c r="C84" s="114"/>
      <c r="D84" s="233" t="s">
        <v>1020</v>
      </c>
      <c r="E84" s="234" t="s">
        <v>0</v>
      </c>
      <c r="F84" s="235">
        <v>1</v>
      </c>
      <c r="G84" s="236">
        <v>2.1</v>
      </c>
      <c r="H84" s="236">
        <v>0.05</v>
      </c>
      <c r="I84" s="236"/>
      <c r="J84" s="235">
        <v>1</v>
      </c>
      <c r="K84" s="249"/>
      <c r="L84" s="237">
        <f t="shared" si="4"/>
        <v>0.10500000000000001</v>
      </c>
      <c r="M84" s="111"/>
      <c r="N84" s="111"/>
      <c r="O84" s="111"/>
      <c r="P84" s="111"/>
    </row>
    <row r="85" spans="3:16" x14ac:dyDescent="0.3">
      <c r="C85" s="114"/>
      <c r="D85" s="233" t="s">
        <v>1022</v>
      </c>
      <c r="E85" s="234" t="s">
        <v>0</v>
      </c>
      <c r="F85" s="235">
        <v>1</v>
      </c>
      <c r="G85" s="236">
        <v>0.75</v>
      </c>
      <c r="H85" s="236">
        <v>0.05</v>
      </c>
      <c r="I85" s="236"/>
      <c r="J85" s="235">
        <v>1</v>
      </c>
      <c r="K85" s="249"/>
      <c r="L85" s="237">
        <f t="shared" si="4"/>
        <v>3.7500000000000006E-2</v>
      </c>
      <c r="M85" s="111"/>
      <c r="N85" s="111"/>
      <c r="O85" s="111"/>
      <c r="P85" s="111"/>
    </row>
    <row r="86" spans="3:16" x14ac:dyDescent="0.3">
      <c r="C86" s="114"/>
      <c r="D86" s="233" t="s">
        <v>1027</v>
      </c>
      <c r="E86" s="234" t="s">
        <v>0</v>
      </c>
      <c r="F86" s="235">
        <v>1</v>
      </c>
      <c r="G86" s="236">
        <v>2.1</v>
      </c>
      <c r="H86" s="236">
        <v>0.05</v>
      </c>
      <c r="I86" s="236"/>
      <c r="J86" s="235">
        <v>1</v>
      </c>
      <c r="K86" s="249"/>
      <c r="L86" s="237">
        <f t="shared" si="4"/>
        <v>0.10500000000000001</v>
      </c>
      <c r="M86" s="111"/>
      <c r="N86" s="111"/>
      <c r="O86" s="111"/>
      <c r="P86" s="111"/>
    </row>
    <row r="87" spans="3:16" x14ac:dyDescent="0.3">
      <c r="C87" s="106"/>
      <c r="D87" s="120" t="s">
        <v>1028</v>
      </c>
      <c r="E87" s="121"/>
      <c r="F87" s="3"/>
      <c r="G87" s="122"/>
      <c r="H87" s="122"/>
      <c r="I87" s="122"/>
      <c r="J87" s="119"/>
      <c r="K87" s="113"/>
      <c r="L87" s="113"/>
      <c r="M87" s="113"/>
      <c r="N87" s="113"/>
      <c r="O87" s="113"/>
      <c r="P87" s="113"/>
    </row>
    <row r="88" spans="3:16" x14ac:dyDescent="0.3">
      <c r="C88" s="114"/>
      <c r="D88" s="233" t="s">
        <v>1033</v>
      </c>
      <c r="E88" s="234" t="s">
        <v>0</v>
      </c>
      <c r="F88" s="235">
        <v>1</v>
      </c>
      <c r="G88" s="236">
        <v>1.25</v>
      </c>
      <c r="H88" s="236">
        <v>0.05</v>
      </c>
      <c r="I88" s="236"/>
      <c r="J88" s="235">
        <v>1</v>
      </c>
      <c r="K88" s="249"/>
      <c r="L88" s="237">
        <f t="shared" ref="L88:L99" si="5">((I88)+H88)*F88*G88*J88</f>
        <v>6.25E-2</v>
      </c>
      <c r="M88" s="111"/>
      <c r="N88" s="111"/>
      <c r="O88" s="111"/>
      <c r="P88" s="111"/>
    </row>
    <row r="89" spans="3:16" x14ac:dyDescent="0.3">
      <c r="C89" s="114"/>
      <c r="D89" s="233" t="s">
        <v>1023</v>
      </c>
      <c r="E89" s="234" t="s">
        <v>0</v>
      </c>
      <c r="F89" s="235">
        <v>1</v>
      </c>
      <c r="G89" s="236">
        <v>1.95</v>
      </c>
      <c r="H89" s="236">
        <v>0.05</v>
      </c>
      <c r="I89" s="236"/>
      <c r="J89" s="235">
        <v>1</v>
      </c>
      <c r="K89" s="249"/>
      <c r="L89" s="237">
        <f t="shared" si="5"/>
        <v>9.7500000000000003E-2</v>
      </c>
      <c r="M89" s="111"/>
      <c r="N89" s="111"/>
      <c r="O89" s="111"/>
      <c r="P89" s="111"/>
    </row>
    <row r="90" spans="3:16" x14ac:dyDescent="0.3">
      <c r="C90" s="114"/>
      <c r="D90" s="233" t="s">
        <v>1024</v>
      </c>
      <c r="E90" s="234" t="s">
        <v>0</v>
      </c>
      <c r="F90" s="235">
        <v>1</v>
      </c>
      <c r="G90" s="236">
        <v>0.6</v>
      </c>
      <c r="H90" s="236">
        <v>0.05</v>
      </c>
      <c r="I90" s="236"/>
      <c r="J90" s="235">
        <v>1</v>
      </c>
      <c r="K90" s="249"/>
      <c r="L90" s="237">
        <f t="shared" si="5"/>
        <v>0.03</v>
      </c>
      <c r="M90" s="111"/>
      <c r="N90" s="111"/>
      <c r="O90" s="111"/>
      <c r="P90" s="111"/>
    </row>
    <row r="91" spans="3:16" x14ac:dyDescent="0.3">
      <c r="C91" s="114"/>
      <c r="D91" s="233"/>
      <c r="E91" s="234" t="s">
        <v>0</v>
      </c>
      <c r="F91" s="235">
        <v>1</v>
      </c>
      <c r="G91" s="236">
        <v>0.9</v>
      </c>
      <c r="H91" s="236">
        <v>0.2</v>
      </c>
      <c r="I91" s="236"/>
      <c r="J91" s="235">
        <v>1</v>
      </c>
      <c r="K91" s="249"/>
      <c r="L91" s="237">
        <f t="shared" si="5"/>
        <v>0.18000000000000002</v>
      </c>
      <c r="M91" s="111"/>
      <c r="N91" s="111"/>
      <c r="O91" s="111"/>
      <c r="P91" s="111"/>
    </row>
    <row r="92" spans="3:16" x14ac:dyDescent="0.3">
      <c r="C92" s="114"/>
      <c r="D92" s="233" t="s">
        <v>1026</v>
      </c>
      <c r="E92" s="234" t="s">
        <v>0</v>
      </c>
      <c r="F92" s="235">
        <v>1</v>
      </c>
      <c r="G92" s="236">
        <v>0.67</v>
      </c>
      <c r="H92" s="236">
        <v>0.05</v>
      </c>
      <c r="I92" s="236"/>
      <c r="J92" s="235">
        <v>1</v>
      </c>
      <c r="K92" s="249"/>
      <c r="L92" s="237">
        <f t="shared" si="5"/>
        <v>3.3500000000000002E-2</v>
      </c>
      <c r="M92" s="111"/>
      <c r="N92" s="111"/>
      <c r="O92" s="111"/>
      <c r="P92" s="111"/>
    </row>
    <row r="93" spans="3:16" x14ac:dyDescent="0.3">
      <c r="C93" s="114"/>
      <c r="D93" s="233"/>
      <c r="E93" s="234" t="s">
        <v>0</v>
      </c>
      <c r="F93" s="235">
        <v>1</v>
      </c>
      <c r="G93" s="236">
        <v>0.7</v>
      </c>
      <c r="H93" s="236">
        <v>0.2</v>
      </c>
      <c r="I93" s="236"/>
      <c r="J93" s="235">
        <v>1</v>
      </c>
      <c r="K93" s="249"/>
      <c r="L93" s="237">
        <f t="shared" si="5"/>
        <v>0.13999999999999999</v>
      </c>
      <c r="M93" s="111"/>
      <c r="N93" s="111"/>
      <c r="O93" s="111"/>
      <c r="P93" s="111"/>
    </row>
    <row r="94" spans="3:16" x14ac:dyDescent="0.3">
      <c r="C94" s="114"/>
      <c r="D94" s="233"/>
      <c r="E94" s="234" t="s">
        <v>0</v>
      </c>
      <c r="F94" s="235">
        <v>1</v>
      </c>
      <c r="G94" s="236">
        <v>0.56999999999999995</v>
      </c>
      <c r="H94" s="236">
        <v>0.05</v>
      </c>
      <c r="I94" s="236"/>
      <c r="J94" s="235">
        <v>1</v>
      </c>
      <c r="K94" s="249"/>
      <c r="L94" s="237">
        <f t="shared" si="5"/>
        <v>2.8499999999999998E-2</v>
      </c>
      <c r="M94" s="111"/>
      <c r="N94" s="111"/>
      <c r="O94" s="111"/>
      <c r="P94" s="111"/>
    </row>
    <row r="95" spans="3:16" x14ac:dyDescent="0.3">
      <c r="C95" s="114"/>
      <c r="D95" s="233" t="s">
        <v>1034</v>
      </c>
      <c r="E95" s="234" t="s">
        <v>0</v>
      </c>
      <c r="F95" s="235">
        <v>1</v>
      </c>
      <c r="G95" s="236">
        <v>3.1</v>
      </c>
      <c r="H95" s="236">
        <v>0.05</v>
      </c>
      <c r="I95" s="236"/>
      <c r="J95" s="235">
        <v>1</v>
      </c>
      <c r="K95" s="249"/>
      <c r="L95" s="237">
        <f t="shared" si="5"/>
        <v>0.15500000000000003</v>
      </c>
      <c r="M95" s="111"/>
      <c r="N95" s="111"/>
      <c r="O95" s="111"/>
      <c r="P95" s="111"/>
    </row>
    <row r="96" spans="3:16" x14ac:dyDescent="0.3">
      <c r="C96" s="114"/>
      <c r="D96" s="233" t="s">
        <v>1019</v>
      </c>
      <c r="E96" s="234" t="s">
        <v>0</v>
      </c>
      <c r="F96" s="235">
        <v>1</v>
      </c>
      <c r="G96" s="236">
        <v>0.75</v>
      </c>
      <c r="H96" s="236">
        <v>0.05</v>
      </c>
      <c r="I96" s="236"/>
      <c r="J96" s="235">
        <v>1</v>
      </c>
      <c r="K96" s="249"/>
      <c r="L96" s="237">
        <f t="shared" si="5"/>
        <v>3.7500000000000006E-2</v>
      </c>
      <c r="M96" s="111"/>
      <c r="N96" s="111"/>
      <c r="O96" s="111"/>
      <c r="P96" s="111"/>
    </row>
    <row r="97" spans="3:16" x14ac:dyDescent="0.3">
      <c r="C97" s="114"/>
      <c r="D97" s="233" t="s">
        <v>1020</v>
      </c>
      <c r="E97" s="234" t="s">
        <v>0</v>
      </c>
      <c r="F97" s="235">
        <v>1</v>
      </c>
      <c r="G97" s="236">
        <v>2.1</v>
      </c>
      <c r="H97" s="236">
        <v>0.05</v>
      </c>
      <c r="I97" s="236"/>
      <c r="J97" s="235">
        <v>1</v>
      </c>
      <c r="K97" s="249"/>
      <c r="L97" s="237">
        <f t="shared" si="5"/>
        <v>0.10500000000000001</v>
      </c>
      <c r="M97" s="111"/>
      <c r="N97" s="111"/>
      <c r="O97" s="111"/>
      <c r="P97" s="111"/>
    </row>
    <row r="98" spans="3:16" x14ac:dyDescent="0.3">
      <c r="C98" s="114"/>
      <c r="D98" s="233" t="s">
        <v>1022</v>
      </c>
      <c r="E98" s="234" t="s">
        <v>0</v>
      </c>
      <c r="F98" s="235">
        <v>1</v>
      </c>
      <c r="G98" s="236">
        <v>0.75</v>
      </c>
      <c r="H98" s="236">
        <v>0.05</v>
      </c>
      <c r="I98" s="236"/>
      <c r="J98" s="235">
        <v>1</v>
      </c>
      <c r="K98" s="249"/>
      <c r="L98" s="237">
        <f t="shared" si="5"/>
        <v>3.7500000000000006E-2</v>
      </c>
      <c r="M98" s="111"/>
      <c r="N98" s="111"/>
      <c r="O98" s="111"/>
      <c r="P98" s="111"/>
    </row>
    <row r="99" spans="3:16" x14ac:dyDescent="0.3">
      <c r="C99" s="114"/>
      <c r="D99" s="233" t="s">
        <v>1027</v>
      </c>
      <c r="E99" s="234" t="s">
        <v>0</v>
      </c>
      <c r="F99" s="235">
        <v>1</v>
      </c>
      <c r="G99" s="236">
        <v>2.1</v>
      </c>
      <c r="H99" s="236">
        <v>0.05</v>
      </c>
      <c r="I99" s="236"/>
      <c r="J99" s="235">
        <v>1</v>
      </c>
      <c r="K99" s="249"/>
      <c r="L99" s="237">
        <f t="shared" si="5"/>
        <v>0.10500000000000001</v>
      </c>
      <c r="M99" s="111"/>
      <c r="N99" s="111"/>
      <c r="O99" s="111"/>
      <c r="P99" s="111"/>
    </row>
    <row r="100" spans="3:16" ht="14.4" x14ac:dyDescent="0.3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3:16" x14ac:dyDescent="0.3">
      <c r="C101" s="99" t="s">
        <v>1184</v>
      </c>
      <c r="D101" s="100" t="s">
        <v>420</v>
      </c>
      <c r="E101" s="101" t="s">
        <v>126</v>
      </c>
      <c r="F101" s="1"/>
      <c r="G101" s="2"/>
      <c r="H101" s="2"/>
      <c r="I101" s="2"/>
      <c r="J101" s="102"/>
      <c r="K101" s="103"/>
      <c r="L101" s="103"/>
      <c r="M101" s="103"/>
      <c r="N101" s="103"/>
      <c r="O101" s="103"/>
      <c r="P101" s="103">
        <f>SUM(L101:L121)</f>
        <v>9.39</v>
      </c>
    </row>
    <row r="102" spans="3:16" x14ac:dyDescent="0.3">
      <c r="C102" s="106"/>
      <c r="D102" s="267" t="s">
        <v>1016</v>
      </c>
      <c r="E102" s="228"/>
      <c r="F102" s="229"/>
      <c r="G102" s="230"/>
      <c r="H102" s="230"/>
      <c r="I102" s="230"/>
      <c r="J102" s="277"/>
      <c r="K102" s="231"/>
      <c r="L102" s="231"/>
      <c r="M102" s="113"/>
      <c r="N102" s="113"/>
      <c r="O102" s="113"/>
      <c r="P102" s="113"/>
    </row>
    <row r="103" spans="3:16" x14ac:dyDescent="0.3">
      <c r="C103" s="106"/>
      <c r="D103" s="267" t="s">
        <v>127</v>
      </c>
      <c r="E103" s="228"/>
      <c r="F103" s="229"/>
      <c r="G103" s="230"/>
      <c r="H103" s="230"/>
      <c r="I103" s="230"/>
      <c r="J103" s="277"/>
      <c r="K103" s="231"/>
      <c r="L103" s="231"/>
      <c r="M103" s="113"/>
      <c r="N103" s="113"/>
      <c r="O103" s="113"/>
      <c r="P103" s="113"/>
    </row>
    <row r="104" spans="3:16" x14ac:dyDescent="0.3">
      <c r="C104" s="332"/>
      <c r="D104" s="333" t="s">
        <v>129</v>
      </c>
      <c r="E104" s="254"/>
      <c r="F104" s="255"/>
      <c r="G104" s="236"/>
      <c r="H104" s="334"/>
      <c r="I104" s="256"/>
      <c r="J104" s="277"/>
      <c r="K104" s="241"/>
      <c r="L104" s="231"/>
      <c r="M104" s="225"/>
      <c r="N104" s="225"/>
      <c r="O104" s="225"/>
      <c r="P104" s="225"/>
    </row>
    <row r="105" spans="3:16" x14ac:dyDescent="0.3">
      <c r="C105" s="114"/>
      <c r="D105" s="258" t="s">
        <v>1035</v>
      </c>
      <c r="E105" s="234" t="s">
        <v>126</v>
      </c>
      <c r="F105" s="235">
        <v>1</v>
      </c>
      <c r="G105" s="236">
        <v>0.15</v>
      </c>
      <c r="H105" s="236">
        <v>0.9</v>
      </c>
      <c r="I105" s="236">
        <v>3</v>
      </c>
      <c r="J105" s="242">
        <v>1</v>
      </c>
      <c r="K105" s="237"/>
      <c r="L105" s="237">
        <f>((H105+I105)*2)*F105*G105*J105</f>
        <v>1.17</v>
      </c>
      <c r="M105" s="111"/>
      <c r="N105" s="111"/>
      <c r="O105" s="111"/>
      <c r="P105" s="111"/>
    </row>
    <row r="106" spans="3:16" x14ac:dyDescent="0.3">
      <c r="C106" s="114"/>
      <c r="D106" s="258" t="s">
        <v>1036</v>
      </c>
      <c r="E106" s="234" t="s">
        <v>126</v>
      </c>
      <c r="F106" s="235">
        <v>1</v>
      </c>
      <c r="G106" s="236">
        <v>0.15</v>
      </c>
      <c r="H106" s="236">
        <v>0.7</v>
      </c>
      <c r="I106" s="236">
        <v>3</v>
      </c>
      <c r="J106" s="242">
        <v>1</v>
      </c>
      <c r="K106" s="237"/>
      <c r="L106" s="237">
        <f>((H106+I106)*2)*F106*G106*J106</f>
        <v>1.1100000000000001</v>
      </c>
      <c r="M106" s="111"/>
      <c r="N106" s="111"/>
      <c r="O106" s="111"/>
      <c r="P106" s="111"/>
    </row>
    <row r="107" spans="3:16" x14ac:dyDescent="0.3">
      <c r="C107" s="118"/>
      <c r="D107" s="333" t="s">
        <v>124</v>
      </c>
      <c r="E107" s="254"/>
      <c r="F107" s="255"/>
      <c r="G107" s="236"/>
      <c r="H107" s="287"/>
      <c r="I107" s="256"/>
      <c r="J107" s="277"/>
      <c r="K107" s="237"/>
      <c r="L107" s="231"/>
      <c r="M107" s="113"/>
      <c r="N107" s="113"/>
      <c r="O107" s="113"/>
      <c r="P107" s="113"/>
    </row>
    <row r="108" spans="3:16" x14ac:dyDescent="0.3">
      <c r="C108" s="326"/>
      <c r="D108" s="258" t="s">
        <v>1037</v>
      </c>
      <c r="E108" s="234" t="s">
        <v>126</v>
      </c>
      <c r="F108" s="235">
        <v>1</v>
      </c>
      <c r="G108" s="236">
        <v>0.15</v>
      </c>
      <c r="H108" s="236">
        <v>2.1</v>
      </c>
      <c r="I108" s="236">
        <v>1.75</v>
      </c>
      <c r="J108" s="242">
        <v>1</v>
      </c>
      <c r="K108" s="237"/>
      <c r="L108" s="237">
        <f>((H108+I108)*2)*F108*G108*J108</f>
        <v>1.155</v>
      </c>
      <c r="M108" s="331"/>
      <c r="N108" s="331"/>
      <c r="O108" s="331"/>
      <c r="P108" s="331"/>
    </row>
    <row r="109" spans="3:16" x14ac:dyDescent="0.3">
      <c r="C109" s="326"/>
      <c r="D109" s="258" t="s">
        <v>1038</v>
      </c>
      <c r="E109" s="234" t="s">
        <v>126</v>
      </c>
      <c r="F109" s="235">
        <v>1</v>
      </c>
      <c r="G109" s="236">
        <v>0.15</v>
      </c>
      <c r="H109" s="236">
        <v>2.1</v>
      </c>
      <c r="I109" s="236">
        <v>0.8</v>
      </c>
      <c r="J109" s="242">
        <v>1</v>
      </c>
      <c r="K109" s="237"/>
      <c r="L109" s="237">
        <f>((H109+I109)*2)*F109*G109*J109</f>
        <v>0.87000000000000011</v>
      </c>
      <c r="M109" s="331"/>
      <c r="N109" s="331"/>
      <c r="O109" s="331"/>
      <c r="P109" s="331"/>
    </row>
    <row r="110" spans="3:16" x14ac:dyDescent="0.3">
      <c r="C110" s="326"/>
      <c r="D110" s="258" t="s">
        <v>1039</v>
      </c>
      <c r="E110" s="234" t="s">
        <v>126</v>
      </c>
      <c r="F110" s="235">
        <v>1</v>
      </c>
      <c r="G110" s="236">
        <v>0.15</v>
      </c>
      <c r="H110" s="236">
        <v>0.4</v>
      </c>
      <c r="I110" s="236">
        <v>0.9</v>
      </c>
      <c r="J110" s="242">
        <v>1</v>
      </c>
      <c r="K110" s="237"/>
      <c r="L110" s="237">
        <f>((H110+I110)*2)*F110*G110*J110</f>
        <v>0.39</v>
      </c>
      <c r="M110" s="331"/>
      <c r="N110" s="331"/>
      <c r="O110" s="331"/>
      <c r="P110" s="331"/>
    </row>
    <row r="111" spans="3:16" x14ac:dyDescent="0.3">
      <c r="C111" s="326"/>
      <c r="D111" s="258"/>
      <c r="E111" s="234"/>
      <c r="F111" s="235"/>
      <c r="G111" s="236"/>
      <c r="H111" s="236"/>
      <c r="I111" s="236"/>
      <c r="J111" s="242"/>
      <c r="K111" s="237"/>
      <c r="L111" s="357"/>
      <c r="M111" s="331"/>
      <c r="N111" s="331"/>
      <c r="O111" s="331"/>
      <c r="P111" s="331"/>
    </row>
    <row r="112" spans="3:16" x14ac:dyDescent="0.3">
      <c r="C112" s="106"/>
      <c r="D112" s="267" t="s">
        <v>1028</v>
      </c>
      <c r="E112" s="228"/>
      <c r="F112" s="229"/>
      <c r="G112" s="230"/>
      <c r="H112" s="230"/>
      <c r="I112" s="230"/>
      <c r="J112" s="277"/>
      <c r="K112" s="231"/>
      <c r="L112" s="231"/>
      <c r="M112" s="113"/>
      <c r="N112" s="113"/>
      <c r="O112" s="113"/>
      <c r="P112" s="113"/>
    </row>
    <row r="113" spans="3:16" x14ac:dyDescent="0.3">
      <c r="C113" s="106"/>
      <c r="D113" s="267" t="s">
        <v>127</v>
      </c>
      <c r="E113" s="228"/>
      <c r="F113" s="229"/>
      <c r="G113" s="230"/>
      <c r="H113" s="230"/>
      <c r="I113" s="230"/>
      <c r="J113" s="277"/>
      <c r="K113" s="231"/>
      <c r="L113" s="231"/>
      <c r="M113" s="113"/>
      <c r="N113" s="113"/>
      <c r="O113" s="113"/>
      <c r="P113" s="113"/>
    </row>
    <row r="114" spans="3:16" x14ac:dyDescent="0.3">
      <c r="C114" s="332"/>
      <c r="D114" s="333" t="s">
        <v>129</v>
      </c>
      <c r="E114" s="254"/>
      <c r="F114" s="255"/>
      <c r="G114" s="236"/>
      <c r="H114" s="334"/>
      <c r="I114" s="256"/>
      <c r="J114" s="277"/>
      <c r="K114" s="241"/>
      <c r="L114" s="231"/>
      <c r="M114" s="225"/>
      <c r="N114" s="225"/>
      <c r="O114" s="225"/>
      <c r="P114" s="225"/>
    </row>
    <row r="115" spans="3:16" x14ac:dyDescent="0.3">
      <c r="C115" s="114"/>
      <c r="D115" s="258" t="s">
        <v>1035</v>
      </c>
      <c r="E115" s="234" t="s">
        <v>126</v>
      </c>
      <c r="F115" s="235">
        <v>1</v>
      </c>
      <c r="G115" s="236">
        <v>0.15</v>
      </c>
      <c r="H115" s="236">
        <v>0.9</v>
      </c>
      <c r="I115" s="236">
        <v>3</v>
      </c>
      <c r="J115" s="242">
        <v>1</v>
      </c>
      <c r="K115" s="237"/>
      <c r="L115" s="237">
        <f>((H115+I115)*2)*F115*G115*J115</f>
        <v>1.17</v>
      </c>
      <c r="M115" s="111"/>
      <c r="N115" s="111"/>
      <c r="O115" s="111"/>
      <c r="P115" s="111"/>
    </row>
    <row r="116" spans="3:16" x14ac:dyDescent="0.3">
      <c r="C116" s="114"/>
      <c r="D116" s="258" t="s">
        <v>1036</v>
      </c>
      <c r="E116" s="234" t="s">
        <v>126</v>
      </c>
      <c r="F116" s="235">
        <v>1</v>
      </c>
      <c r="G116" s="236">
        <v>0.15</v>
      </c>
      <c r="H116" s="236">
        <v>0.7</v>
      </c>
      <c r="I116" s="236">
        <v>3</v>
      </c>
      <c r="J116" s="242">
        <v>1</v>
      </c>
      <c r="K116" s="237"/>
      <c r="L116" s="237">
        <f>((H116+I116)*2)*F116*G116*J116</f>
        <v>1.1100000000000001</v>
      </c>
      <c r="M116" s="111"/>
      <c r="N116" s="111"/>
      <c r="O116" s="111"/>
      <c r="P116" s="111"/>
    </row>
    <row r="117" spans="3:16" x14ac:dyDescent="0.3">
      <c r="C117" s="118"/>
      <c r="D117" s="333" t="s">
        <v>124</v>
      </c>
      <c r="E117" s="254"/>
      <c r="F117" s="255"/>
      <c r="G117" s="236"/>
      <c r="H117" s="287"/>
      <c r="I117" s="256"/>
      <c r="J117" s="277"/>
      <c r="K117" s="237"/>
      <c r="L117" s="231"/>
      <c r="M117" s="113"/>
      <c r="N117" s="113"/>
      <c r="O117" s="113"/>
      <c r="P117" s="113"/>
    </row>
    <row r="118" spans="3:16" x14ac:dyDescent="0.3">
      <c r="C118" s="326"/>
      <c r="D118" s="258" t="s">
        <v>1037</v>
      </c>
      <c r="E118" s="234" t="s">
        <v>126</v>
      </c>
      <c r="F118" s="235">
        <v>1</v>
      </c>
      <c r="G118" s="236">
        <v>0.15</v>
      </c>
      <c r="H118" s="236">
        <v>2.1</v>
      </c>
      <c r="I118" s="236">
        <v>1.75</v>
      </c>
      <c r="J118" s="242">
        <v>1</v>
      </c>
      <c r="K118" s="237"/>
      <c r="L118" s="237">
        <f>((H118+I118)*2)*F118*G118*J118</f>
        <v>1.155</v>
      </c>
      <c r="M118" s="331"/>
      <c r="N118" s="331"/>
      <c r="O118" s="331"/>
      <c r="P118" s="331"/>
    </row>
    <row r="119" spans="3:16" x14ac:dyDescent="0.3">
      <c r="C119" s="326"/>
      <c r="D119" s="258" t="s">
        <v>1038</v>
      </c>
      <c r="E119" s="234" t="s">
        <v>126</v>
      </c>
      <c r="F119" s="235">
        <v>1</v>
      </c>
      <c r="G119" s="236">
        <v>0.15</v>
      </c>
      <c r="H119" s="236">
        <v>2.1</v>
      </c>
      <c r="I119" s="236">
        <v>0.8</v>
      </c>
      <c r="J119" s="242">
        <v>1</v>
      </c>
      <c r="K119" s="237"/>
      <c r="L119" s="237">
        <f>((H119+I119)*2)*F119*G119*J119</f>
        <v>0.87000000000000011</v>
      </c>
      <c r="M119" s="331"/>
      <c r="N119" s="331"/>
      <c r="O119" s="331"/>
      <c r="P119" s="331"/>
    </row>
    <row r="120" spans="3:16" x14ac:dyDescent="0.3">
      <c r="C120" s="326"/>
      <c r="D120" s="258" t="s">
        <v>1039</v>
      </c>
      <c r="E120" s="234" t="s">
        <v>126</v>
      </c>
      <c r="F120" s="235">
        <v>1</v>
      </c>
      <c r="G120" s="236">
        <v>0.15</v>
      </c>
      <c r="H120" s="236">
        <v>0.4</v>
      </c>
      <c r="I120" s="236">
        <v>0.9</v>
      </c>
      <c r="J120" s="242">
        <v>1</v>
      </c>
      <c r="K120" s="237"/>
      <c r="L120" s="237">
        <f>((H120+I120)*2)*F120*G120*J120</f>
        <v>0.39</v>
      </c>
      <c r="M120" s="331"/>
      <c r="N120" s="331"/>
      <c r="O120" s="331"/>
      <c r="P120" s="331"/>
    </row>
    <row r="121" spans="3:16" ht="14.4" x14ac:dyDescent="0.3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3:16" x14ac:dyDescent="0.3">
      <c r="C122" s="99" t="s">
        <v>1185</v>
      </c>
      <c r="D122" s="100" t="s">
        <v>159</v>
      </c>
      <c r="E122" s="101" t="s">
        <v>0</v>
      </c>
      <c r="F122" s="1"/>
      <c r="G122" s="2"/>
      <c r="H122" s="2"/>
      <c r="I122" s="2"/>
      <c r="J122" s="102"/>
      <c r="K122" s="103"/>
      <c r="L122" s="103"/>
      <c r="M122" s="103"/>
      <c r="N122" s="103"/>
      <c r="O122" s="103"/>
      <c r="P122" s="103">
        <f>SUM(L122:L135)</f>
        <v>30.36</v>
      </c>
    </row>
    <row r="123" spans="3:16" x14ac:dyDescent="0.3">
      <c r="C123" s="106"/>
      <c r="D123" s="267" t="s">
        <v>1016</v>
      </c>
      <c r="E123" s="228"/>
      <c r="F123" s="229"/>
      <c r="G123" s="230"/>
      <c r="H123" s="230"/>
      <c r="I123" s="230"/>
      <c r="J123" s="277"/>
      <c r="K123" s="231"/>
      <c r="L123" s="231"/>
      <c r="M123" s="113"/>
      <c r="N123" s="113"/>
      <c r="O123" s="113"/>
      <c r="P123" s="113"/>
    </row>
    <row r="124" spans="3:16" x14ac:dyDescent="0.3">
      <c r="C124" s="106"/>
      <c r="D124" s="267" t="s">
        <v>127</v>
      </c>
      <c r="E124" s="228"/>
      <c r="F124" s="229"/>
      <c r="G124" s="230"/>
      <c r="H124" s="230"/>
      <c r="I124" s="230"/>
      <c r="J124" s="277"/>
      <c r="K124" s="231"/>
      <c r="L124" s="231"/>
      <c r="M124" s="113"/>
      <c r="N124" s="113"/>
      <c r="O124" s="113"/>
      <c r="P124" s="113"/>
    </row>
    <row r="125" spans="3:16" x14ac:dyDescent="0.3">
      <c r="C125" s="114"/>
      <c r="D125" s="258" t="s">
        <v>1040</v>
      </c>
      <c r="E125" s="234" t="s">
        <v>0</v>
      </c>
      <c r="F125" s="235">
        <v>1</v>
      </c>
      <c r="G125" s="236" t="s">
        <v>156</v>
      </c>
      <c r="H125" s="236">
        <v>8.4499999999999993</v>
      </c>
      <c r="I125" s="236"/>
      <c r="J125" s="242">
        <v>1</v>
      </c>
      <c r="K125" s="237"/>
      <c r="L125" s="237">
        <f>IF(F125="","",PRODUCT(F125:J125))</f>
        <v>8.4499999999999993</v>
      </c>
      <c r="M125" s="111"/>
      <c r="N125" s="111"/>
      <c r="O125" s="111"/>
      <c r="P125" s="111"/>
    </row>
    <row r="126" spans="3:16" x14ac:dyDescent="0.3">
      <c r="C126" s="114"/>
      <c r="D126" s="258"/>
      <c r="E126" s="234" t="s">
        <v>0</v>
      </c>
      <c r="F126" s="235">
        <v>1</v>
      </c>
      <c r="G126" s="236" t="s">
        <v>156</v>
      </c>
      <c r="H126" s="236">
        <v>1.42</v>
      </c>
      <c r="I126" s="236"/>
      <c r="J126" s="242">
        <v>1</v>
      </c>
      <c r="K126" s="237"/>
      <c r="L126" s="237">
        <f>IF(F126="","",PRODUCT(F126:J126))</f>
        <v>1.42</v>
      </c>
      <c r="M126" s="111"/>
      <c r="N126" s="111"/>
      <c r="O126" s="111"/>
      <c r="P126" s="111"/>
    </row>
    <row r="127" spans="3:16" x14ac:dyDescent="0.3">
      <c r="C127" s="114"/>
      <c r="D127" s="258" t="s">
        <v>195</v>
      </c>
      <c r="E127" s="234" t="s">
        <v>0</v>
      </c>
      <c r="F127" s="235">
        <v>1</v>
      </c>
      <c r="G127" s="236" t="s">
        <v>156</v>
      </c>
      <c r="H127" s="236">
        <v>1.85</v>
      </c>
      <c r="I127" s="236"/>
      <c r="J127" s="242">
        <v>1</v>
      </c>
      <c r="K127" s="237"/>
      <c r="L127" s="237">
        <f>IF(F127="","",PRODUCT(F127:J127))</f>
        <v>1.85</v>
      </c>
      <c r="M127" s="111"/>
      <c r="N127" s="111"/>
      <c r="O127" s="111"/>
      <c r="P127" s="111"/>
    </row>
    <row r="128" spans="3:16" x14ac:dyDescent="0.3">
      <c r="C128" s="114"/>
      <c r="D128" s="258" t="s">
        <v>1041</v>
      </c>
      <c r="E128" s="234" t="s">
        <v>0</v>
      </c>
      <c r="F128" s="235">
        <v>1</v>
      </c>
      <c r="G128" s="236" t="s">
        <v>156</v>
      </c>
      <c r="H128" s="236">
        <f>18.28-14.82</f>
        <v>3.4600000000000009</v>
      </c>
      <c r="I128" s="236"/>
      <c r="J128" s="242">
        <v>1</v>
      </c>
      <c r="K128" s="237"/>
      <c r="L128" s="237">
        <f>IF(F128="","",PRODUCT(F128:J128))</f>
        <v>3.4600000000000009</v>
      </c>
      <c r="M128" s="111"/>
      <c r="N128" s="111"/>
      <c r="O128" s="111"/>
      <c r="P128" s="111"/>
    </row>
    <row r="129" spans="3:16" x14ac:dyDescent="0.3">
      <c r="C129" s="106"/>
      <c r="D129" s="267" t="s">
        <v>1028</v>
      </c>
      <c r="E129" s="228"/>
      <c r="F129" s="229"/>
      <c r="G129" s="230"/>
      <c r="H129" s="230"/>
      <c r="I129" s="230"/>
      <c r="J129" s="277"/>
      <c r="K129" s="231"/>
      <c r="L129" s="231"/>
      <c r="M129" s="113"/>
      <c r="N129" s="113"/>
      <c r="O129" s="113"/>
      <c r="P129" s="113"/>
    </row>
    <row r="130" spans="3:16" x14ac:dyDescent="0.3">
      <c r="C130" s="106"/>
      <c r="D130" s="267" t="s">
        <v>127</v>
      </c>
      <c r="E130" s="228"/>
      <c r="F130" s="229"/>
      <c r="G130" s="230"/>
      <c r="H130" s="230"/>
      <c r="I130" s="230"/>
      <c r="J130" s="277"/>
      <c r="K130" s="231"/>
      <c r="L130" s="231"/>
      <c r="M130" s="113"/>
      <c r="N130" s="113"/>
      <c r="O130" s="113"/>
      <c r="P130" s="113"/>
    </row>
    <row r="131" spans="3:16" x14ac:dyDescent="0.3">
      <c r="C131" s="114"/>
      <c r="D131" s="258" t="s">
        <v>1040</v>
      </c>
      <c r="E131" s="234" t="s">
        <v>0</v>
      </c>
      <c r="F131" s="235">
        <v>1</v>
      </c>
      <c r="G131" s="236" t="s">
        <v>156</v>
      </c>
      <c r="H131" s="236">
        <v>8.4499999999999993</v>
      </c>
      <c r="I131" s="236"/>
      <c r="J131" s="242">
        <v>1</v>
      </c>
      <c r="K131" s="237"/>
      <c r="L131" s="237">
        <f>IF(F131="","",PRODUCT(F131:J131))</f>
        <v>8.4499999999999993</v>
      </c>
      <c r="M131" s="111"/>
      <c r="N131" s="111"/>
      <c r="O131" s="111"/>
      <c r="P131" s="111"/>
    </row>
    <row r="132" spans="3:16" x14ac:dyDescent="0.3">
      <c r="C132" s="114"/>
      <c r="D132" s="258"/>
      <c r="E132" s="234" t="s">
        <v>0</v>
      </c>
      <c r="F132" s="235">
        <v>1</v>
      </c>
      <c r="G132" s="236" t="s">
        <v>156</v>
      </c>
      <c r="H132" s="236">
        <v>1.42</v>
      </c>
      <c r="I132" s="236"/>
      <c r="J132" s="242">
        <v>1</v>
      </c>
      <c r="K132" s="237"/>
      <c r="L132" s="237">
        <f>IF(F132="","",PRODUCT(F132:J132))</f>
        <v>1.42</v>
      </c>
      <c r="M132" s="111"/>
      <c r="N132" s="111"/>
      <c r="O132" s="111"/>
      <c r="P132" s="111"/>
    </row>
    <row r="133" spans="3:16" x14ac:dyDescent="0.3">
      <c r="C133" s="114"/>
      <c r="D133" s="258" t="s">
        <v>195</v>
      </c>
      <c r="E133" s="234" t="s">
        <v>0</v>
      </c>
      <c r="F133" s="235">
        <v>1</v>
      </c>
      <c r="G133" s="236" t="s">
        <v>156</v>
      </c>
      <c r="H133" s="236">
        <v>1.85</v>
      </c>
      <c r="I133" s="236"/>
      <c r="J133" s="242">
        <v>1</v>
      </c>
      <c r="K133" s="237"/>
      <c r="L133" s="237">
        <f>IF(F133="","",PRODUCT(F133:J133))</f>
        <v>1.85</v>
      </c>
      <c r="M133" s="111"/>
      <c r="N133" s="111"/>
      <c r="O133" s="111"/>
      <c r="P133" s="111"/>
    </row>
    <row r="134" spans="3:16" x14ac:dyDescent="0.3">
      <c r="C134" s="114"/>
      <c r="D134" s="258" t="s">
        <v>1041</v>
      </c>
      <c r="E134" s="234" t="s">
        <v>0</v>
      </c>
      <c r="F134" s="235">
        <v>1</v>
      </c>
      <c r="G134" s="236" t="s">
        <v>156</v>
      </c>
      <c r="H134" s="236">
        <f>18.28-14.82</f>
        <v>3.4600000000000009</v>
      </c>
      <c r="I134" s="236"/>
      <c r="J134" s="242">
        <v>1</v>
      </c>
      <c r="K134" s="237"/>
      <c r="L134" s="237">
        <f>IF(F134="","",PRODUCT(F134:J134))</f>
        <v>3.4600000000000009</v>
      </c>
      <c r="M134" s="111"/>
      <c r="N134" s="111"/>
      <c r="O134" s="111"/>
      <c r="P134" s="111"/>
    </row>
    <row r="135" spans="3:16" ht="14.4" x14ac:dyDescent="0.3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379D-D673-4AC5-8475-3E2FE52D7E23}">
  <dimension ref="A1:W166"/>
  <sheetViews>
    <sheetView view="pageBreakPreview" topLeftCell="B142" zoomScale="130" zoomScaleNormal="85" zoomScaleSheetLayoutView="130" workbookViewId="0">
      <selection activeCell="O141" sqref="O141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1043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7" s="83" customFormat="1" ht="13.2" x14ac:dyDescent="0.3">
      <c r="A17" s="75"/>
      <c r="B17" s="76"/>
      <c r="C17" s="77"/>
      <c r="D17" s="78" t="s">
        <v>1043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7" s="90" customFormat="1" x14ac:dyDescent="0.2">
      <c r="A18" s="84">
        <v>1</v>
      </c>
      <c r="B18" s="85"/>
      <c r="C18" s="155" t="s">
        <v>1186</v>
      </c>
      <c r="D18" s="87" t="s">
        <v>11</v>
      </c>
      <c r="E18" s="88"/>
      <c r="F18" s="1"/>
      <c r="G18" s="2"/>
      <c r="H18" s="2"/>
      <c r="I18" s="2"/>
      <c r="J18" s="3"/>
      <c r="K18" s="89"/>
      <c r="L18" s="89"/>
      <c r="M18" s="89"/>
      <c r="N18" s="89"/>
      <c r="O18" s="89"/>
      <c r="P18" s="89"/>
    </row>
    <row r="19" spans="1:17" s="14" customFormat="1" x14ac:dyDescent="0.2">
      <c r="A19" s="91">
        <v>2</v>
      </c>
      <c r="B19" s="92"/>
      <c r="C19" s="165" t="s">
        <v>1179</v>
      </c>
      <c r="D19" s="94" t="s">
        <v>89</v>
      </c>
      <c r="E19" s="95"/>
      <c r="F19" s="1"/>
      <c r="G19" s="2"/>
      <c r="H19" s="2"/>
      <c r="I19" s="2"/>
      <c r="J19" s="3"/>
      <c r="K19" s="96"/>
      <c r="L19" s="96"/>
      <c r="M19" s="96"/>
      <c r="N19" s="96"/>
      <c r="O19" s="96"/>
      <c r="P19" s="96"/>
    </row>
    <row r="20" spans="1:17" s="104" customFormat="1" x14ac:dyDescent="0.2">
      <c r="A20" s="98"/>
      <c r="B20" s="8"/>
      <c r="C20" s="99" t="s">
        <v>1180</v>
      </c>
      <c r="D20" s="100" t="s">
        <v>522</v>
      </c>
      <c r="E20" s="101" t="s">
        <v>0</v>
      </c>
      <c r="F20" s="1"/>
      <c r="G20" s="2"/>
      <c r="H20" s="2"/>
      <c r="I20" s="2"/>
      <c r="J20" s="102"/>
      <c r="K20" s="103"/>
      <c r="L20" s="103"/>
      <c r="M20" s="103"/>
      <c r="N20" s="103"/>
      <c r="O20" s="103"/>
      <c r="P20" s="103">
        <f>SUM(L21:L52)</f>
        <v>30.170500000000004</v>
      </c>
      <c r="Q20" s="8"/>
    </row>
    <row r="21" spans="1:17" x14ac:dyDescent="0.3">
      <c r="C21" s="106"/>
      <c r="D21" s="267" t="s">
        <v>127</v>
      </c>
      <c r="E21" s="317"/>
      <c r="F21" s="318"/>
      <c r="G21" s="251"/>
      <c r="H21" s="319"/>
      <c r="I21" s="251"/>
      <c r="J21" s="318"/>
      <c r="K21" s="320"/>
      <c r="L21" s="320"/>
      <c r="M21" s="113"/>
      <c r="N21" s="113"/>
      <c r="O21" s="113"/>
      <c r="P21" s="113"/>
    </row>
    <row r="22" spans="1:17" x14ac:dyDescent="0.3">
      <c r="C22" s="308"/>
      <c r="D22" s="232" t="s">
        <v>160</v>
      </c>
      <c r="E22" s="321"/>
      <c r="F22" s="322"/>
      <c r="G22" s="323"/>
      <c r="H22" s="323"/>
      <c r="I22" s="323"/>
      <c r="J22" s="324"/>
      <c r="K22" s="325"/>
      <c r="L22" s="325"/>
      <c r="M22" s="313"/>
      <c r="N22" s="313"/>
      <c r="O22" s="313"/>
      <c r="P22" s="313"/>
    </row>
    <row r="23" spans="1:17" x14ac:dyDescent="0.3">
      <c r="C23" s="114"/>
      <c r="D23" s="233" t="s">
        <v>1044</v>
      </c>
      <c r="E23" s="234" t="s">
        <v>0</v>
      </c>
      <c r="F23" s="235">
        <v>1</v>
      </c>
      <c r="G23" s="335">
        <v>0.98</v>
      </c>
      <c r="H23" s="236"/>
      <c r="I23" s="335">
        <v>2.65</v>
      </c>
      <c r="J23" s="242">
        <v>1</v>
      </c>
      <c r="K23" s="237"/>
      <c r="L23" s="336">
        <f t="shared" ref="L23" si="0">PRODUCT(F23*G23*I23*J23)</f>
        <v>2.597</v>
      </c>
      <c r="M23" s="111"/>
      <c r="N23" s="111"/>
      <c r="O23" s="111"/>
      <c r="P23" s="111"/>
    </row>
    <row r="24" spans="1:17" x14ac:dyDescent="0.3">
      <c r="C24" s="308"/>
      <c r="D24" s="232" t="s">
        <v>1045</v>
      </c>
      <c r="E24" s="321"/>
      <c r="F24" s="322"/>
      <c r="G24" s="323"/>
      <c r="H24" s="323"/>
      <c r="I24" s="323"/>
      <c r="J24" s="324"/>
      <c r="K24" s="325"/>
      <c r="L24" s="325"/>
      <c r="M24" s="313"/>
      <c r="N24" s="313"/>
      <c r="O24" s="313"/>
      <c r="P24" s="313"/>
    </row>
    <row r="25" spans="1:17" x14ac:dyDescent="0.3">
      <c r="C25" s="114"/>
      <c r="D25" s="233" t="s">
        <v>1046</v>
      </c>
      <c r="E25" s="234" t="s">
        <v>0</v>
      </c>
      <c r="F25" s="235">
        <v>1</v>
      </c>
      <c r="G25" s="335">
        <v>2.2000000000000002</v>
      </c>
      <c r="H25" s="236"/>
      <c r="I25" s="335">
        <v>2.65</v>
      </c>
      <c r="J25" s="242">
        <v>2</v>
      </c>
      <c r="K25" s="237"/>
      <c r="L25" s="336">
        <f>PRODUCT(F25*G25*I25*J25)</f>
        <v>11.66</v>
      </c>
      <c r="M25" s="111"/>
      <c r="N25" s="111"/>
      <c r="O25" s="111"/>
      <c r="P25" s="111"/>
    </row>
    <row r="26" spans="1:17" x14ac:dyDescent="0.3">
      <c r="C26" s="114"/>
      <c r="D26" s="233" t="s">
        <v>1047</v>
      </c>
      <c r="E26" s="234" t="s">
        <v>0</v>
      </c>
      <c r="F26" s="235">
        <v>1</v>
      </c>
      <c r="G26" s="335">
        <v>2.2000000000000002</v>
      </c>
      <c r="H26" s="236"/>
      <c r="I26" s="335">
        <v>2.65</v>
      </c>
      <c r="J26" s="242">
        <v>1</v>
      </c>
      <c r="K26" s="237"/>
      <c r="L26" s="336">
        <f>PRODUCT(F26*G26*I26*J26)</f>
        <v>5.83</v>
      </c>
      <c r="M26" s="111"/>
      <c r="N26" s="111"/>
      <c r="O26" s="111"/>
      <c r="P26" s="111"/>
    </row>
    <row r="27" spans="1:17" x14ac:dyDescent="0.3">
      <c r="C27" s="114"/>
      <c r="D27" s="233" t="s">
        <v>1048</v>
      </c>
      <c r="E27" s="234" t="s">
        <v>0</v>
      </c>
      <c r="F27" s="235">
        <v>1</v>
      </c>
      <c r="G27" s="335">
        <v>2.2000000000000002</v>
      </c>
      <c r="H27" s="236"/>
      <c r="I27" s="335">
        <v>2.65</v>
      </c>
      <c r="J27" s="242">
        <v>1</v>
      </c>
      <c r="K27" s="237"/>
      <c r="L27" s="336">
        <f>PRODUCT(F27*G27*I27*J27)</f>
        <v>5.83</v>
      </c>
      <c r="M27" s="111"/>
      <c r="N27" s="111"/>
      <c r="O27" s="111"/>
      <c r="P27" s="111"/>
    </row>
    <row r="28" spans="1:17" x14ac:dyDescent="0.3">
      <c r="C28" s="114"/>
      <c r="D28" s="233" t="s">
        <v>1049</v>
      </c>
      <c r="E28" s="269" t="s">
        <v>0</v>
      </c>
      <c r="F28" s="270">
        <v>1</v>
      </c>
      <c r="G28" s="337">
        <v>2.1</v>
      </c>
      <c r="H28" s="268"/>
      <c r="I28" s="336">
        <v>1</v>
      </c>
      <c r="J28" s="270">
        <v>1</v>
      </c>
      <c r="K28" s="268"/>
      <c r="L28" s="336">
        <f t="shared" ref="L28:L29" si="1">PRODUCT(F28*G28*I28*J28)</f>
        <v>2.1</v>
      </c>
      <c r="M28" s="111"/>
      <c r="N28" s="111"/>
      <c r="O28" s="111"/>
      <c r="P28" s="111"/>
    </row>
    <row r="29" spans="1:17" x14ac:dyDescent="0.3">
      <c r="C29" s="114"/>
      <c r="D29" s="233" t="s">
        <v>1050</v>
      </c>
      <c r="E29" s="234" t="s">
        <v>0</v>
      </c>
      <c r="F29" s="235">
        <v>1</v>
      </c>
      <c r="G29" s="251">
        <v>1.6</v>
      </c>
      <c r="H29" s="236"/>
      <c r="I29" s="336">
        <v>1</v>
      </c>
      <c r="J29" s="270">
        <v>1</v>
      </c>
      <c r="K29" s="268"/>
      <c r="L29" s="336">
        <f t="shared" si="1"/>
        <v>1.6</v>
      </c>
      <c r="M29" s="111"/>
      <c r="N29" s="111"/>
      <c r="O29" s="111"/>
      <c r="P29" s="111"/>
    </row>
    <row r="30" spans="1:17" x14ac:dyDescent="0.3">
      <c r="C30" s="114"/>
      <c r="D30" s="232" t="s">
        <v>865</v>
      </c>
      <c r="E30" s="260"/>
      <c r="F30" s="278"/>
      <c r="G30" s="256"/>
      <c r="H30" s="256"/>
      <c r="I30" s="256"/>
      <c r="J30" s="277"/>
      <c r="K30" s="231"/>
      <c r="L30" s="231"/>
      <c r="M30" s="111"/>
      <c r="N30" s="111"/>
      <c r="O30" s="111"/>
      <c r="P30" s="111"/>
    </row>
    <row r="31" spans="1:17" x14ac:dyDescent="0.3">
      <c r="C31" s="114"/>
      <c r="D31" s="266" t="s">
        <v>1051</v>
      </c>
      <c r="E31" s="239" t="s">
        <v>0</v>
      </c>
      <c r="F31" s="235">
        <v>1</v>
      </c>
      <c r="G31" s="236">
        <v>2.11</v>
      </c>
      <c r="H31" s="236"/>
      <c r="I31" s="251">
        <v>2.85</v>
      </c>
      <c r="J31" s="242">
        <v>1</v>
      </c>
      <c r="K31" s="237"/>
      <c r="L31" s="237">
        <f t="shared" ref="L31:L33" si="2">IF(F31="","",PRODUCT(F31:J31))</f>
        <v>6.0134999999999996</v>
      </c>
      <c r="M31" s="111"/>
      <c r="N31" s="111"/>
      <c r="O31" s="111"/>
      <c r="P31" s="111"/>
    </row>
    <row r="32" spans="1:17" x14ac:dyDescent="0.3">
      <c r="C32" s="114"/>
      <c r="D32" s="266" t="s">
        <v>1052</v>
      </c>
      <c r="E32" s="239" t="s">
        <v>0</v>
      </c>
      <c r="F32" s="235">
        <v>1</v>
      </c>
      <c r="G32" s="236">
        <v>7.64</v>
      </c>
      <c r="H32" s="236"/>
      <c r="I32" s="251">
        <v>2.85</v>
      </c>
      <c r="J32" s="242">
        <v>1</v>
      </c>
      <c r="K32" s="237"/>
      <c r="L32" s="237">
        <f t="shared" si="2"/>
        <v>21.774000000000001</v>
      </c>
      <c r="M32" s="111"/>
      <c r="N32" s="111"/>
      <c r="O32" s="111"/>
      <c r="P32" s="111"/>
    </row>
    <row r="33" spans="3:16" x14ac:dyDescent="0.3">
      <c r="C33" s="114"/>
      <c r="D33" s="266" t="s">
        <v>1053</v>
      </c>
      <c r="E33" s="239" t="s">
        <v>0</v>
      </c>
      <c r="F33" s="235">
        <v>1</v>
      </c>
      <c r="G33" s="236">
        <v>6.1</v>
      </c>
      <c r="H33" s="236"/>
      <c r="I33" s="251">
        <v>2.85</v>
      </c>
      <c r="J33" s="242">
        <v>1</v>
      </c>
      <c r="K33" s="237"/>
      <c r="L33" s="237">
        <f t="shared" si="2"/>
        <v>17.384999999999998</v>
      </c>
      <c r="M33" s="111"/>
      <c r="N33" s="111"/>
      <c r="O33" s="111"/>
      <c r="P33" s="111"/>
    </row>
    <row r="34" spans="3:16" x14ac:dyDescent="0.3">
      <c r="C34" s="114"/>
      <c r="D34" s="258" t="s">
        <v>1054</v>
      </c>
      <c r="E34" s="314" t="s">
        <v>0</v>
      </c>
      <c r="F34" s="250">
        <v>1</v>
      </c>
      <c r="G34" s="251">
        <v>0.76</v>
      </c>
      <c r="H34" s="251"/>
      <c r="I34" s="251">
        <v>2</v>
      </c>
      <c r="J34" s="250">
        <v>1</v>
      </c>
      <c r="K34" s="315"/>
      <c r="L34" s="237">
        <f>PRODUCT(F34:J34)</f>
        <v>1.52</v>
      </c>
      <c r="M34" s="111"/>
      <c r="N34" s="111"/>
      <c r="O34" s="111"/>
      <c r="P34" s="111"/>
    </row>
    <row r="35" spans="3:16" x14ac:dyDescent="0.3">
      <c r="C35" s="114"/>
      <c r="D35" s="258" t="s">
        <v>1055</v>
      </c>
      <c r="E35" s="314" t="s">
        <v>0</v>
      </c>
      <c r="F35" s="250">
        <v>1</v>
      </c>
      <c r="G35" s="251">
        <v>0.7</v>
      </c>
      <c r="H35" s="251"/>
      <c r="I35" s="251">
        <v>2.85</v>
      </c>
      <c r="J35" s="250">
        <v>1</v>
      </c>
      <c r="K35" s="315"/>
      <c r="L35" s="237">
        <f>PRODUCT(F35:J35)</f>
        <v>1.9949999999999999</v>
      </c>
      <c r="M35" s="111"/>
      <c r="N35" s="111"/>
      <c r="O35" s="111"/>
      <c r="P35" s="111"/>
    </row>
    <row r="36" spans="3:16" x14ac:dyDescent="0.3">
      <c r="C36" s="114"/>
      <c r="D36" s="258" t="s">
        <v>1056</v>
      </c>
      <c r="E36" s="314" t="s">
        <v>0</v>
      </c>
      <c r="F36" s="250">
        <v>1</v>
      </c>
      <c r="G36" s="251">
        <v>3.7</v>
      </c>
      <c r="H36" s="251"/>
      <c r="I36" s="251">
        <v>0.33</v>
      </c>
      <c r="J36" s="250">
        <v>1</v>
      </c>
      <c r="K36" s="315"/>
      <c r="L36" s="237">
        <f>PRODUCT(F36:J36)</f>
        <v>1.2210000000000001</v>
      </c>
      <c r="M36" s="111"/>
      <c r="N36" s="111"/>
      <c r="O36" s="111"/>
      <c r="P36" s="111"/>
    </row>
    <row r="37" spans="3:16" x14ac:dyDescent="0.3">
      <c r="C37" s="114"/>
      <c r="D37" s="258" t="s">
        <v>1057</v>
      </c>
      <c r="E37" s="314" t="s">
        <v>0</v>
      </c>
      <c r="F37" s="250">
        <v>1</v>
      </c>
      <c r="G37" s="251">
        <v>3.7</v>
      </c>
      <c r="H37" s="251"/>
      <c r="I37" s="251">
        <v>0.33</v>
      </c>
      <c r="J37" s="250">
        <v>1</v>
      </c>
      <c r="K37" s="315"/>
      <c r="L37" s="237">
        <f>PRODUCT(F37:J37)</f>
        <v>1.2210000000000001</v>
      </c>
      <c r="M37" s="111"/>
      <c r="N37" s="111"/>
      <c r="O37" s="111"/>
      <c r="P37" s="111"/>
    </row>
    <row r="38" spans="3:16" x14ac:dyDescent="0.3">
      <c r="C38" s="114"/>
      <c r="D38" s="258" t="s">
        <v>1058</v>
      </c>
      <c r="E38" s="314" t="s">
        <v>0</v>
      </c>
      <c r="F38" s="250">
        <v>1</v>
      </c>
      <c r="G38" s="251">
        <v>0.7</v>
      </c>
      <c r="H38" s="251"/>
      <c r="I38" s="251">
        <v>2.85</v>
      </c>
      <c r="J38" s="250">
        <v>1</v>
      </c>
      <c r="K38" s="315"/>
      <c r="L38" s="237">
        <f>PRODUCT(F38:J38)</f>
        <v>1.9949999999999999</v>
      </c>
      <c r="M38" s="111"/>
      <c r="N38" s="111"/>
      <c r="O38" s="111"/>
      <c r="P38" s="111"/>
    </row>
    <row r="39" spans="3:16" x14ac:dyDescent="0.3">
      <c r="C39" s="114"/>
      <c r="D39" s="258"/>
      <c r="E39" s="314"/>
      <c r="F39" s="250"/>
      <c r="G39" s="251"/>
      <c r="H39" s="251"/>
      <c r="I39" s="251"/>
      <c r="J39" s="250"/>
      <c r="K39" s="315"/>
      <c r="L39" s="237"/>
      <c r="M39" s="111"/>
      <c r="N39" s="111"/>
      <c r="O39" s="111"/>
      <c r="P39" s="111"/>
    </row>
    <row r="40" spans="3:16" x14ac:dyDescent="0.3">
      <c r="C40" s="106"/>
      <c r="D40" s="267" t="s">
        <v>68</v>
      </c>
      <c r="E40" s="228"/>
      <c r="F40" s="229"/>
      <c r="G40" s="230"/>
      <c r="H40" s="230"/>
      <c r="I40" s="338"/>
      <c r="J40" s="277"/>
      <c r="K40" s="231"/>
      <c r="L40" s="231"/>
      <c r="M40" s="113"/>
      <c r="N40" s="113"/>
      <c r="O40" s="113"/>
      <c r="P40" s="113"/>
    </row>
    <row r="41" spans="3:16" x14ac:dyDescent="0.3">
      <c r="C41" s="106"/>
      <c r="D41" s="232" t="s">
        <v>160</v>
      </c>
      <c r="E41" s="228"/>
      <c r="F41" s="229"/>
      <c r="G41" s="230"/>
      <c r="H41" s="230"/>
      <c r="I41" s="338"/>
      <c r="J41" s="277"/>
      <c r="K41" s="231"/>
      <c r="L41" s="231"/>
      <c r="M41" s="113"/>
      <c r="N41" s="113"/>
      <c r="O41" s="113"/>
      <c r="P41" s="113"/>
    </row>
    <row r="42" spans="3:16" x14ac:dyDescent="0.3">
      <c r="C42" s="114"/>
      <c r="D42" s="233" t="s">
        <v>1059</v>
      </c>
      <c r="E42" s="234" t="s">
        <v>0</v>
      </c>
      <c r="F42" s="235">
        <v>1</v>
      </c>
      <c r="G42" s="335">
        <v>1.42</v>
      </c>
      <c r="H42" s="236"/>
      <c r="I42" s="337">
        <v>2.2999999999999998</v>
      </c>
      <c r="J42" s="242">
        <v>1</v>
      </c>
      <c r="K42" s="237"/>
      <c r="L42" s="336">
        <f t="shared" ref="L42:L45" si="3">PRODUCT(F42*G42*I42*J42)</f>
        <v>3.2659999999999996</v>
      </c>
      <c r="M42" s="111"/>
      <c r="N42" s="111"/>
      <c r="O42" s="111"/>
      <c r="P42" s="111"/>
    </row>
    <row r="43" spans="3:16" x14ac:dyDescent="0.3">
      <c r="C43" s="114"/>
      <c r="D43" s="233" t="s">
        <v>1060</v>
      </c>
      <c r="E43" s="269" t="s">
        <v>0</v>
      </c>
      <c r="F43" s="270">
        <v>1</v>
      </c>
      <c r="G43" s="337">
        <v>2.29</v>
      </c>
      <c r="H43" s="268"/>
      <c r="I43" s="337">
        <v>2.2999999999999998</v>
      </c>
      <c r="J43" s="270">
        <v>1</v>
      </c>
      <c r="K43" s="268"/>
      <c r="L43" s="336">
        <f t="shared" si="3"/>
        <v>5.2669999999999995</v>
      </c>
      <c r="M43" s="111"/>
      <c r="N43" s="111"/>
      <c r="O43" s="111"/>
      <c r="P43" s="111"/>
    </row>
    <row r="44" spans="3:16" x14ac:dyDescent="0.3">
      <c r="C44" s="114"/>
      <c r="D44" s="233"/>
      <c r="E44" s="269" t="s">
        <v>0</v>
      </c>
      <c r="F44" s="270">
        <v>1</v>
      </c>
      <c r="G44" s="337">
        <v>0.27</v>
      </c>
      <c r="H44" s="268"/>
      <c r="I44" s="337">
        <v>2.2999999999999998</v>
      </c>
      <c r="J44" s="270">
        <v>1</v>
      </c>
      <c r="K44" s="268"/>
      <c r="L44" s="336">
        <f t="shared" si="3"/>
        <v>0.621</v>
      </c>
      <c r="M44" s="111"/>
      <c r="N44" s="111"/>
      <c r="O44" s="111"/>
      <c r="P44" s="111"/>
    </row>
    <row r="45" spans="3:16" x14ac:dyDescent="0.3">
      <c r="C45" s="114"/>
      <c r="D45" s="233"/>
      <c r="E45" s="269" t="s">
        <v>0</v>
      </c>
      <c r="F45" s="270">
        <v>1</v>
      </c>
      <c r="G45" s="337">
        <v>0.09</v>
      </c>
      <c r="H45" s="268"/>
      <c r="I45" s="337">
        <v>2.2999999999999998</v>
      </c>
      <c r="J45" s="270">
        <v>1</v>
      </c>
      <c r="K45" s="268"/>
      <c r="L45" s="336">
        <f t="shared" si="3"/>
        <v>0.20699999999999999</v>
      </c>
      <c r="M45" s="111"/>
      <c r="N45" s="111"/>
      <c r="O45" s="111"/>
      <c r="P45" s="111"/>
    </row>
    <row r="46" spans="3:16" x14ac:dyDescent="0.3">
      <c r="C46" s="114"/>
      <c r="D46" s="258"/>
      <c r="E46" s="314"/>
      <c r="F46" s="250"/>
      <c r="G46" s="251"/>
      <c r="H46" s="251"/>
      <c r="I46" s="251"/>
      <c r="J46" s="250"/>
      <c r="K46" s="315"/>
      <c r="L46" s="251"/>
      <c r="M46" s="111"/>
      <c r="N46" s="111"/>
      <c r="O46" s="111"/>
      <c r="P46" s="111"/>
    </row>
    <row r="47" spans="3:16" x14ac:dyDescent="0.3">
      <c r="C47" s="106"/>
      <c r="D47" s="316" t="s">
        <v>186</v>
      </c>
      <c r="E47" s="262"/>
      <c r="F47" s="229"/>
      <c r="G47" s="230"/>
      <c r="H47" s="230"/>
      <c r="I47" s="231"/>
      <c r="J47" s="277"/>
      <c r="K47" s="231"/>
      <c r="L47" s="231"/>
      <c r="M47" s="113"/>
      <c r="N47" s="113"/>
      <c r="O47" s="113"/>
      <c r="P47" s="113"/>
    </row>
    <row r="48" spans="3:16" x14ac:dyDescent="0.3">
      <c r="C48" s="106"/>
      <c r="D48" s="227" t="s">
        <v>127</v>
      </c>
      <c r="E48" s="262"/>
      <c r="F48" s="229"/>
      <c r="G48" s="230"/>
      <c r="H48" s="230"/>
      <c r="I48" s="231"/>
      <c r="J48" s="277"/>
      <c r="K48" s="231"/>
      <c r="L48" s="231"/>
      <c r="M48" s="113"/>
      <c r="N48" s="113"/>
      <c r="O48" s="113"/>
      <c r="P48" s="113"/>
    </row>
    <row r="49" spans="3:16" x14ac:dyDescent="0.3">
      <c r="C49" s="106"/>
      <c r="D49" s="233" t="s">
        <v>194</v>
      </c>
      <c r="E49" s="239" t="s">
        <v>0</v>
      </c>
      <c r="F49" s="235">
        <v>-1</v>
      </c>
      <c r="G49" s="236">
        <v>8.82</v>
      </c>
      <c r="H49" s="236"/>
      <c r="I49" s="237">
        <v>2.1</v>
      </c>
      <c r="J49" s="242">
        <v>1</v>
      </c>
      <c r="K49" s="237"/>
      <c r="L49" s="237">
        <f>IF(F49="","",PRODUCT(F49:J49))</f>
        <v>-18.522000000000002</v>
      </c>
      <c r="M49" s="113"/>
      <c r="N49" s="113"/>
      <c r="O49" s="113"/>
      <c r="P49" s="113"/>
    </row>
    <row r="50" spans="3:16" x14ac:dyDescent="0.3">
      <c r="C50" s="114"/>
      <c r="D50" s="258" t="s">
        <v>1061</v>
      </c>
      <c r="E50" s="239" t="s">
        <v>0</v>
      </c>
      <c r="F50" s="242">
        <v>-1</v>
      </c>
      <c r="G50" s="236">
        <f>3.57+12.53</f>
        <v>16.099999999999998</v>
      </c>
      <c r="H50" s="236"/>
      <c r="I50" s="236">
        <v>1.5</v>
      </c>
      <c r="J50" s="242">
        <v>1</v>
      </c>
      <c r="K50" s="237"/>
      <c r="L50" s="237">
        <f t="shared" ref="L50:L51" si="4">IF(F50="","",PRODUCT(F50:J50))</f>
        <v>-24.15</v>
      </c>
      <c r="M50" s="111"/>
      <c r="N50" s="111"/>
      <c r="O50" s="111"/>
      <c r="P50" s="111"/>
    </row>
    <row r="51" spans="3:16" x14ac:dyDescent="0.3">
      <c r="C51" s="106"/>
      <c r="D51" s="258" t="s">
        <v>1062</v>
      </c>
      <c r="E51" s="239" t="s">
        <v>0</v>
      </c>
      <c r="F51" s="242">
        <v>-1</v>
      </c>
      <c r="G51" s="236">
        <f>9.44+3.4</f>
        <v>12.84</v>
      </c>
      <c r="H51" s="236"/>
      <c r="I51" s="236">
        <v>1.5</v>
      </c>
      <c r="J51" s="242">
        <v>1</v>
      </c>
      <c r="K51" s="237"/>
      <c r="L51" s="237">
        <f t="shared" si="4"/>
        <v>-19.259999999999998</v>
      </c>
      <c r="M51" s="113"/>
      <c r="N51" s="113"/>
      <c r="O51" s="113"/>
      <c r="P51" s="113"/>
    </row>
    <row r="52" spans="3:16" x14ac:dyDescent="0.3">
      <c r="C52" s="106"/>
      <c r="D52" s="115"/>
      <c r="E52" s="144"/>
      <c r="F52" s="3"/>
      <c r="G52" s="122"/>
      <c r="H52" s="122"/>
      <c r="I52" s="113"/>
      <c r="J52" s="119"/>
      <c r="K52" s="113"/>
      <c r="L52" s="113"/>
      <c r="M52" s="113"/>
      <c r="N52" s="113"/>
      <c r="O52" s="113"/>
      <c r="P52" s="113"/>
    </row>
    <row r="53" spans="3:16" x14ac:dyDescent="0.3">
      <c r="C53" s="99" t="s">
        <v>1181</v>
      </c>
      <c r="D53" s="100" t="s">
        <v>521</v>
      </c>
      <c r="E53" s="101" t="s">
        <v>0</v>
      </c>
      <c r="F53" s="1"/>
      <c r="G53" s="2"/>
      <c r="H53" s="2"/>
      <c r="I53" s="2"/>
      <c r="J53" s="102"/>
      <c r="K53" s="103"/>
      <c r="L53" s="103"/>
      <c r="M53" s="103"/>
      <c r="N53" s="103"/>
      <c r="O53" s="103"/>
      <c r="P53" s="103">
        <f>SUM(L55:L65)</f>
        <v>54.714500000000001</v>
      </c>
    </row>
    <row r="54" spans="3:16" x14ac:dyDescent="0.3">
      <c r="C54" s="114"/>
      <c r="D54" s="137" t="s">
        <v>1045</v>
      </c>
      <c r="E54" s="101"/>
      <c r="F54" s="1"/>
      <c r="G54" s="2"/>
      <c r="H54" s="2"/>
      <c r="I54" s="2"/>
      <c r="J54" s="102"/>
      <c r="K54" s="103"/>
      <c r="L54" s="103"/>
      <c r="M54" s="103"/>
      <c r="N54" s="103"/>
      <c r="O54" s="103"/>
      <c r="P54" s="103"/>
    </row>
    <row r="55" spans="3:16" x14ac:dyDescent="0.3">
      <c r="C55" s="114"/>
      <c r="D55" s="120" t="s">
        <v>68</v>
      </c>
      <c r="E55" s="121"/>
      <c r="F55" s="3"/>
      <c r="G55" s="122"/>
      <c r="H55" s="122"/>
      <c r="I55" s="339"/>
      <c r="J55" s="119"/>
      <c r="K55" s="113"/>
      <c r="L55" s="113"/>
      <c r="M55" s="103"/>
      <c r="N55" s="103"/>
      <c r="O55" s="103"/>
      <c r="P55" s="103"/>
    </row>
    <row r="56" spans="3:16" x14ac:dyDescent="0.3">
      <c r="C56" s="114"/>
      <c r="D56" s="233" t="s">
        <v>1059</v>
      </c>
      <c r="E56" s="234" t="s">
        <v>0</v>
      </c>
      <c r="F56" s="235">
        <v>1</v>
      </c>
      <c r="G56" s="335">
        <v>1.42</v>
      </c>
      <c r="H56" s="236"/>
      <c r="I56" s="337">
        <v>2.2999999999999998</v>
      </c>
      <c r="J56" s="242">
        <v>1</v>
      </c>
      <c r="K56" s="237"/>
      <c r="L56" s="336">
        <f t="shared" ref="L56" si="5">PRODUCT(F56*G56*I56*J56)</f>
        <v>3.2659999999999996</v>
      </c>
      <c r="M56" s="103"/>
      <c r="N56" s="103"/>
      <c r="O56" s="103"/>
      <c r="P56" s="103"/>
    </row>
    <row r="57" spans="3:16" x14ac:dyDescent="0.3">
      <c r="C57" s="114"/>
      <c r="D57" s="137" t="s">
        <v>865</v>
      </c>
      <c r="E57" s="138"/>
      <c r="F57" s="139"/>
      <c r="G57" s="2"/>
      <c r="H57" s="2"/>
      <c r="I57" s="2"/>
      <c r="J57" s="119"/>
      <c r="K57" s="113"/>
      <c r="L57" s="113"/>
      <c r="M57" s="103"/>
      <c r="N57" s="103"/>
      <c r="O57" s="103"/>
      <c r="P57" s="103"/>
    </row>
    <row r="58" spans="3:16" x14ac:dyDescent="0.3">
      <c r="C58" s="114"/>
      <c r="D58" s="120" t="s">
        <v>127</v>
      </c>
      <c r="E58" s="121"/>
      <c r="F58" s="3"/>
      <c r="G58" s="122"/>
      <c r="H58" s="122"/>
      <c r="I58" s="122"/>
      <c r="J58" s="3"/>
      <c r="K58" s="113"/>
      <c r="L58" s="113"/>
      <c r="M58" s="103"/>
      <c r="N58" s="103"/>
      <c r="O58" s="103"/>
      <c r="P58" s="103"/>
    </row>
    <row r="59" spans="3:16" x14ac:dyDescent="0.3">
      <c r="C59" s="114"/>
      <c r="D59" s="266" t="s">
        <v>1063</v>
      </c>
      <c r="E59" s="239" t="s">
        <v>0</v>
      </c>
      <c r="F59" s="235">
        <v>1</v>
      </c>
      <c r="G59" s="236">
        <v>3.55</v>
      </c>
      <c r="H59" s="236"/>
      <c r="I59" s="251">
        <v>2.75</v>
      </c>
      <c r="J59" s="242">
        <v>1</v>
      </c>
      <c r="K59" s="237"/>
      <c r="L59" s="237">
        <f t="shared" ref="L59:L60" si="6">IF(F59="","",PRODUCT(F59:J59))</f>
        <v>9.7624999999999993</v>
      </c>
      <c r="M59" s="103"/>
      <c r="N59" s="103"/>
      <c r="O59" s="103"/>
      <c r="P59" s="103"/>
    </row>
    <row r="60" spans="3:16" x14ac:dyDescent="0.3">
      <c r="C60" s="114"/>
      <c r="D60" s="266" t="s">
        <v>1064</v>
      </c>
      <c r="E60" s="239" t="s">
        <v>0</v>
      </c>
      <c r="F60" s="235">
        <v>1</v>
      </c>
      <c r="G60" s="236">
        <v>2.2200000000000002</v>
      </c>
      <c r="H60" s="236"/>
      <c r="I60" s="251">
        <v>2.75</v>
      </c>
      <c r="J60" s="242">
        <v>1</v>
      </c>
      <c r="K60" s="237"/>
      <c r="L60" s="237">
        <f t="shared" si="6"/>
        <v>6.1050000000000004</v>
      </c>
      <c r="M60" s="103"/>
      <c r="N60" s="103"/>
      <c r="O60" s="103"/>
      <c r="P60" s="103"/>
    </row>
    <row r="61" spans="3:16" x14ac:dyDescent="0.3">
      <c r="C61" s="114"/>
      <c r="D61" s="120" t="s">
        <v>68</v>
      </c>
      <c r="E61" s="121"/>
      <c r="F61" s="3"/>
      <c r="G61" s="122"/>
      <c r="H61" s="122"/>
      <c r="I61" s="339"/>
      <c r="J61" s="119"/>
      <c r="K61" s="113"/>
      <c r="L61" s="113"/>
      <c r="M61" s="103"/>
      <c r="N61" s="103"/>
      <c r="O61" s="103"/>
      <c r="P61" s="103"/>
    </row>
    <row r="62" spans="3:16" x14ac:dyDescent="0.3">
      <c r="C62" s="114"/>
      <c r="D62" s="266" t="s">
        <v>1052</v>
      </c>
      <c r="E62" s="239" t="s">
        <v>0</v>
      </c>
      <c r="F62" s="235">
        <v>1</v>
      </c>
      <c r="G62" s="236">
        <v>5.85</v>
      </c>
      <c r="H62" s="236"/>
      <c r="I62" s="251">
        <v>2.2999999999999998</v>
      </c>
      <c r="J62" s="242">
        <v>1</v>
      </c>
      <c r="K62" s="237"/>
      <c r="L62" s="237">
        <f t="shared" ref="L62:L64" si="7">IF(F62="","",PRODUCT(F62:J62))</f>
        <v>13.454999999999998</v>
      </c>
      <c r="M62" s="103"/>
      <c r="N62" s="103"/>
      <c r="O62" s="103"/>
      <c r="P62" s="103"/>
    </row>
    <row r="63" spans="3:16" x14ac:dyDescent="0.3">
      <c r="C63" s="114"/>
      <c r="D63" s="266" t="s">
        <v>1065</v>
      </c>
      <c r="E63" s="239" t="s">
        <v>0</v>
      </c>
      <c r="F63" s="235">
        <v>1</v>
      </c>
      <c r="G63" s="236">
        <v>7.31</v>
      </c>
      <c r="H63" s="236"/>
      <c r="I63" s="251">
        <v>2.2999999999999998</v>
      </c>
      <c r="J63" s="242">
        <v>1</v>
      </c>
      <c r="K63" s="237"/>
      <c r="L63" s="237">
        <f t="shared" si="7"/>
        <v>16.812999999999999</v>
      </c>
      <c r="M63" s="103"/>
      <c r="N63" s="103"/>
      <c r="O63" s="103"/>
      <c r="P63" s="103"/>
    </row>
    <row r="64" spans="3:16" x14ac:dyDescent="0.3">
      <c r="C64" s="114"/>
      <c r="D64" s="266" t="s">
        <v>1064</v>
      </c>
      <c r="E64" s="239" t="s">
        <v>0</v>
      </c>
      <c r="F64" s="235">
        <v>1</v>
      </c>
      <c r="G64" s="236">
        <v>2.31</v>
      </c>
      <c r="H64" s="236"/>
      <c r="I64" s="251">
        <v>2.2999999999999998</v>
      </c>
      <c r="J64" s="242">
        <v>1</v>
      </c>
      <c r="K64" s="237"/>
      <c r="L64" s="237">
        <f t="shared" si="7"/>
        <v>5.3129999999999997</v>
      </c>
      <c r="M64" s="103"/>
      <c r="N64" s="103"/>
      <c r="O64" s="103"/>
      <c r="P64" s="103"/>
    </row>
    <row r="65" spans="3:16" x14ac:dyDescent="0.3">
      <c r="C65" s="114"/>
      <c r="D65" s="117"/>
      <c r="E65" s="340"/>
      <c r="F65" s="341"/>
      <c r="G65" s="305"/>
      <c r="H65" s="305"/>
      <c r="I65" s="305"/>
      <c r="J65" s="341"/>
      <c r="K65" s="342"/>
      <c r="L65" s="305"/>
      <c r="M65" s="331"/>
      <c r="N65" s="331"/>
      <c r="O65" s="331"/>
      <c r="P65" s="331"/>
    </row>
    <row r="66" spans="3:16" x14ac:dyDescent="0.3">
      <c r="C66" s="99" t="s">
        <v>1182</v>
      </c>
      <c r="D66" s="100" t="s">
        <v>520</v>
      </c>
      <c r="E66" s="101" t="s">
        <v>0</v>
      </c>
      <c r="F66" s="1"/>
      <c r="G66" s="2"/>
      <c r="H66" s="2"/>
      <c r="I66" s="2"/>
      <c r="J66" s="102"/>
      <c r="K66" s="103"/>
      <c r="L66" s="103"/>
      <c r="M66" s="103"/>
      <c r="N66" s="103"/>
      <c r="O66" s="103"/>
      <c r="P66" s="103">
        <f>SUM(L66:L88)</f>
        <v>40.779000000000003</v>
      </c>
    </row>
    <row r="67" spans="3:16" x14ac:dyDescent="0.3">
      <c r="C67" s="106"/>
      <c r="D67" s="120" t="s">
        <v>1016</v>
      </c>
      <c r="E67" s="121"/>
      <c r="F67" s="3"/>
      <c r="G67" s="122"/>
      <c r="H67" s="122"/>
      <c r="I67" s="122"/>
      <c r="J67" s="119"/>
      <c r="K67" s="113"/>
      <c r="L67" s="113"/>
      <c r="M67" s="113"/>
      <c r="N67" s="113"/>
      <c r="O67" s="113"/>
      <c r="P67" s="113"/>
    </row>
    <row r="68" spans="3:16" x14ac:dyDescent="0.3">
      <c r="C68" s="106"/>
      <c r="D68" s="120" t="s">
        <v>127</v>
      </c>
      <c r="E68" s="121"/>
      <c r="F68" s="3"/>
      <c r="G68" s="122" t="s">
        <v>198</v>
      </c>
      <c r="H68" s="122"/>
      <c r="I68" s="122"/>
      <c r="J68" s="3"/>
      <c r="K68" s="113"/>
      <c r="L68" s="113"/>
      <c r="M68" s="113"/>
      <c r="N68" s="113"/>
      <c r="O68" s="113"/>
      <c r="P68" s="113"/>
    </row>
    <row r="69" spans="3:16" x14ac:dyDescent="0.3">
      <c r="C69" s="114"/>
      <c r="D69" s="233" t="s">
        <v>1066</v>
      </c>
      <c r="E69" s="234" t="s">
        <v>0</v>
      </c>
      <c r="F69" s="235">
        <v>1</v>
      </c>
      <c r="G69" s="236">
        <v>0.75</v>
      </c>
      <c r="H69" s="236"/>
      <c r="I69" s="236">
        <v>2.85</v>
      </c>
      <c r="J69" s="235">
        <v>1</v>
      </c>
      <c r="K69" s="237"/>
      <c r="L69" s="237">
        <f t="shared" ref="L69:L77" si="8">IF(F69="","",PRODUCT(F69:J69))</f>
        <v>2.1375000000000002</v>
      </c>
      <c r="M69" s="111"/>
      <c r="N69" s="111"/>
      <c r="O69" s="111"/>
      <c r="P69" s="111"/>
    </row>
    <row r="70" spans="3:16" x14ac:dyDescent="0.3">
      <c r="C70" s="114"/>
      <c r="D70" s="233" t="s">
        <v>1067</v>
      </c>
      <c r="E70" s="234" t="s">
        <v>0</v>
      </c>
      <c r="F70" s="235">
        <v>1</v>
      </c>
      <c r="G70" s="236">
        <v>0.73</v>
      </c>
      <c r="H70" s="236"/>
      <c r="I70" s="236">
        <v>2.85</v>
      </c>
      <c r="J70" s="235">
        <v>1</v>
      </c>
      <c r="K70" s="237"/>
      <c r="L70" s="237">
        <f t="shared" si="8"/>
        <v>2.0804999999999998</v>
      </c>
      <c r="M70" s="111"/>
      <c r="N70" s="111"/>
      <c r="O70" s="111"/>
      <c r="P70" s="111"/>
    </row>
    <row r="71" spans="3:16" x14ac:dyDescent="0.3">
      <c r="C71" s="114"/>
      <c r="D71" s="233" t="s">
        <v>1068</v>
      </c>
      <c r="E71" s="234" t="s">
        <v>0</v>
      </c>
      <c r="F71" s="235">
        <v>1</v>
      </c>
      <c r="G71" s="236">
        <v>0.99</v>
      </c>
      <c r="H71" s="236"/>
      <c r="I71" s="236">
        <v>2.85</v>
      </c>
      <c r="J71" s="235">
        <v>1</v>
      </c>
      <c r="K71" s="237"/>
      <c r="L71" s="237">
        <f t="shared" si="8"/>
        <v>2.8214999999999999</v>
      </c>
      <c r="M71" s="111"/>
      <c r="N71" s="111"/>
      <c r="O71" s="111"/>
      <c r="P71" s="111"/>
    </row>
    <row r="72" spans="3:16" x14ac:dyDescent="0.3">
      <c r="C72" s="114"/>
      <c r="D72" s="233" t="s">
        <v>1069</v>
      </c>
      <c r="E72" s="234" t="s">
        <v>0</v>
      </c>
      <c r="F72" s="235">
        <v>1</v>
      </c>
      <c r="G72" s="236">
        <v>0.5</v>
      </c>
      <c r="H72" s="236"/>
      <c r="I72" s="236">
        <v>2.85</v>
      </c>
      <c r="J72" s="235">
        <v>1</v>
      </c>
      <c r="K72" s="237"/>
      <c r="L72" s="237">
        <f t="shared" si="8"/>
        <v>1.425</v>
      </c>
      <c r="M72" s="111"/>
      <c r="N72" s="111"/>
      <c r="O72" s="111"/>
      <c r="P72" s="111"/>
    </row>
    <row r="73" spans="3:16" x14ac:dyDescent="0.3">
      <c r="C73" s="114"/>
      <c r="D73" s="233" t="s">
        <v>1070</v>
      </c>
      <c r="E73" s="234" t="s">
        <v>0</v>
      </c>
      <c r="F73" s="235">
        <v>1</v>
      </c>
      <c r="G73" s="236">
        <v>0.5</v>
      </c>
      <c r="H73" s="236"/>
      <c r="I73" s="236">
        <v>2.85</v>
      </c>
      <c r="J73" s="235">
        <v>1</v>
      </c>
      <c r="K73" s="237"/>
      <c r="L73" s="237">
        <f t="shared" si="8"/>
        <v>1.425</v>
      </c>
      <c r="M73" s="111"/>
      <c r="N73" s="111"/>
      <c r="O73" s="111"/>
      <c r="P73" s="111"/>
    </row>
    <row r="74" spans="3:16" x14ac:dyDescent="0.3">
      <c r="C74" s="114"/>
      <c r="D74" s="233" t="s">
        <v>1071</v>
      </c>
      <c r="E74" s="234" t="s">
        <v>0</v>
      </c>
      <c r="F74" s="235">
        <v>1</v>
      </c>
      <c r="G74" s="236">
        <v>0.99</v>
      </c>
      <c r="H74" s="236"/>
      <c r="I74" s="236">
        <v>2.85</v>
      </c>
      <c r="J74" s="235">
        <v>1</v>
      </c>
      <c r="K74" s="237"/>
      <c r="L74" s="237">
        <f t="shared" si="8"/>
        <v>2.8214999999999999</v>
      </c>
      <c r="M74" s="111"/>
      <c r="N74" s="111"/>
      <c r="O74" s="111"/>
      <c r="P74" s="111"/>
    </row>
    <row r="75" spans="3:16" x14ac:dyDescent="0.3">
      <c r="C75" s="114"/>
      <c r="D75" s="233" t="s">
        <v>1072</v>
      </c>
      <c r="E75" s="234" t="s">
        <v>0</v>
      </c>
      <c r="F75" s="235">
        <v>1</v>
      </c>
      <c r="G75" s="236">
        <v>0.48</v>
      </c>
      <c r="H75" s="236"/>
      <c r="I75" s="236">
        <v>2.85</v>
      </c>
      <c r="J75" s="235">
        <v>1</v>
      </c>
      <c r="K75" s="237"/>
      <c r="L75" s="237">
        <f t="shared" si="8"/>
        <v>1.3679999999999999</v>
      </c>
      <c r="M75" s="111"/>
      <c r="N75" s="111"/>
      <c r="O75" s="111"/>
      <c r="P75" s="111"/>
    </row>
    <row r="76" spans="3:16" x14ac:dyDescent="0.3">
      <c r="C76" s="114"/>
      <c r="D76" s="233"/>
      <c r="E76" s="234" t="s">
        <v>0</v>
      </c>
      <c r="F76" s="235">
        <v>1</v>
      </c>
      <c r="G76" s="236">
        <v>0.6</v>
      </c>
      <c r="H76" s="236"/>
      <c r="I76" s="236">
        <v>2.85</v>
      </c>
      <c r="J76" s="235">
        <v>1</v>
      </c>
      <c r="K76" s="237"/>
      <c r="L76" s="237">
        <f t="shared" si="8"/>
        <v>1.71</v>
      </c>
      <c r="M76" s="111"/>
      <c r="N76" s="111"/>
      <c r="O76" s="111"/>
      <c r="P76" s="111"/>
    </row>
    <row r="77" spans="3:16" x14ac:dyDescent="0.3">
      <c r="C77" s="114"/>
      <c r="D77" s="233" t="s">
        <v>1073</v>
      </c>
      <c r="E77" s="234" t="s">
        <v>0</v>
      </c>
      <c r="F77" s="235">
        <v>1</v>
      </c>
      <c r="G77" s="236">
        <v>0.9</v>
      </c>
      <c r="H77" s="236"/>
      <c r="I77" s="236">
        <v>2.85</v>
      </c>
      <c r="J77" s="235">
        <v>1</v>
      </c>
      <c r="K77" s="237"/>
      <c r="L77" s="237">
        <f t="shared" si="8"/>
        <v>2.5649999999999999</v>
      </c>
      <c r="M77" s="111"/>
      <c r="N77" s="111"/>
      <c r="O77" s="111"/>
      <c r="P77" s="111"/>
    </row>
    <row r="78" spans="3:16" x14ac:dyDescent="0.3">
      <c r="C78" s="106"/>
      <c r="D78" s="120" t="s">
        <v>68</v>
      </c>
      <c r="E78" s="121"/>
      <c r="F78" s="3"/>
      <c r="G78" s="122" t="s">
        <v>198</v>
      </c>
      <c r="H78" s="122"/>
      <c r="I78" s="122"/>
      <c r="J78" s="3"/>
      <c r="K78" s="113"/>
      <c r="L78" s="113"/>
      <c r="M78" s="113"/>
      <c r="N78" s="113"/>
      <c r="O78" s="113"/>
      <c r="P78" s="113"/>
    </row>
    <row r="79" spans="3:16" x14ac:dyDescent="0.3">
      <c r="C79" s="114"/>
      <c r="D79" s="233" t="s">
        <v>1066</v>
      </c>
      <c r="E79" s="234" t="s">
        <v>0</v>
      </c>
      <c r="F79" s="235">
        <v>1</v>
      </c>
      <c r="G79" s="236">
        <v>1.05</v>
      </c>
      <c r="H79" s="236"/>
      <c r="I79" s="236">
        <v>2.2999999999999998</v>
      </c>
      <c r="J79" s="235">
        <v>1</v>
      </c>
      <c r="K79" s="237"/>
      <c r="L79" s="237">
        <f t="shared" ref="L79:L87" si="9">IF(F79="","",PRODUCT(F79:J79))</f>
        <v>2.415</v>
      </c>
      <c r="M79" s="111"/>
      <c r="N79" s="111"/>
      <c r="O79" s="111"/>
      <c r="P79" s="111"/>
    </row>
    <row r="80" spans="3:16" x14ac:dyDescent="0.3">
      <c r="C80" s="114"/>
      <c r="D80" s="233" t="s">
        <v>1067</v>
      </c>
      <c r="E80" s="234" t="s">
        <v>0</v>
      </c>
      <c r="F80" s="235">
        <v>1</v>
      </c>
      <c r="G80" s="236">
        <v>0.9</v>
      </c>
      <c r="H80" s="236"/>
      <c r="I80" s="236">
        <v>2.2999999999999998</v>
      </c>
      <c r="J80" s="235">
        <v>1</v>
      </c>
      <c r="K80" s="237"/>
      <c r="L80" s="237">
        <f t="shared" si="9"/>
        <v>2.0699999999999998</v>
      </c>
      <c r="M80" s="111"/>
      <c r="N80" s="111"/>
      <c r="O80" s="111"/>
      <c r="P80" s="111"/>
    </row>
    <row r="81" spans="3:16" x14ac:dyDescent="0.3">
      <c r="C81" s="114"/>
      <c r="D81" s="233"/>
      <c r="E81" s="234" t="s">
        <v>0</v>
      </c>
      <c r="F81" s="235">
        <v>1</v>
      </c>
      <c r="G81" s="236">
        <v>0.6</v>
      </c>
      <c r="H81" s="236"/>
      <c r="I81" s="236">
        <v>2.2999999999999998</v>
      </c>
      <c r="J81" s="235">
        <v>1</v>
      </c>
      <c r="K81" s="237"/>
      <c r="L81" s="237">
        <f t="shared" si="9"/>
        <v>1.38</v>
      </c>
      <c r="M81" s="111"/>
      <c r="N81" s="111"/>
      <c r="O81" s="111"/>
      <c r="P81" s="111"/>
    </row>
    <row r="82" spans="3:16" x14ac:dyDescent="0.3">
      <c r="C82" s="114"/>
      <c r="D82" s="233" t="s">
        <v>1068</v>
      </c>
      <c r="E82" s="234" t="s">
        <v>0</v>
      </c>
      <c r="F82" s="235">
        <v>1</v>
      </c>
      <c r="G82" s="236">
        <v>1.5</v>
      </c>
      <c r="H82" s="236"/>
      <c r="I82" s="236">
        <v>2.2999999999999998</v>
      </c>
      <c r="J82" s="235">
        <v>1</v>
      </c>
      <c r="K82" s="237"/>
      <c r="L82" s="237">
        <f t="shared" si="9"/>
        <v>3.4499999999999997</v>
      </c>
      <c r="M82" s="111"/>
      <c r="N82" s="111"/>
      <c r="O82" s="111"/>
      <c r="P82" s="111"/>
    </row>
    <row r="83" spans="3:16" x14ac:dyDescent="0.3">
      <c r="C83" s="114"/>
      <c r="D83" s="233" t="s">
        <v>1069</v>
      </c>
      <c r="E83" s="234" t="s">
        <v>0</v>
      </c>
      <c r="F83" s="235">
        <v>1</v>
      </c>
      <c r="G83" s="236">
        <v>0.9</v>
      </c>
      <c r="H83" s="236"/>
      <c r="I83" s="236">
        <v>2.2999999999999998</v>
      </c>
      <c r="J83" s="235">
        <v>1</v>
      </c>
      <c r="K83" s="237"/>
      <c r="L83" s="237">
        <f t="shared" si="9"/>
        <v>2.0699999999999998</v>
      </c>
      <c r="M83" s="111"/>
      <c r="N83" s="111"/>
      <c r="O83" s="111"/>
      <c r="P83" s="111"/>
    </row>
    <row r="84" spans="3:16" x14ac:dyDescent="0.3">
      <c r="C84" s="114"/>
      <c r="D84" s="233" t="s">
        <v>1070</v>
      </c>
      <c r="E84" s="234" t="s">
        <v>0</v>
      </c>
      <c r="F84" s="235">
        <v>1</v>
      </c>
      <c r="G84" s="236">
        <v>0.9</v>
      </c>
      <c r="H84" s="236"/>
      <c r="I84" s="236">
        <v>2.2999999999999998</v>
      </c>
      <c r="J84" s="235">
        <v>1</v>
      </c>
      <c r="K84" s="237"/>
      <c r="L84" s="237">
        <f t="shared" si="9"/>
        <v>2.0699999999999998</v>
      </c>
      <c r="M84" s="111"/>
      <c r="N84" s="111"/>
      <c r="O84" s="111"/>
      <c r="P84" s="111"/>
    </row>
    <row r="85" spans="3:16" x14ac:dyDescent="0.3">
      <c r="C85" s="114"/>
      <c r="D85" s="233" t="s">
        <v>1071</v>
      </c>
      <c r="E85" s="234" t="s">
        <v>0</v>
      </c>
      <c r="F85" s="235">
        <v>1</v>
      </c>
      <c r="G85" s="236">
        <v>1.5</v>
      </c>
      <c r="H85" s="236"/>
      <c r="I85" s="236">
        <v>2.2999999999999998</v>
      </c>
      <c r="J85" s="235">
        <v>1</v>
      </c>
      <c r="K85" s="237"/>
      <c r="L85" s="237">
        <f t="shared" si="9"/>
        <v>3.4499999999999997</v>
      </c>
      <c r="M85" s="111"/>
      <c r="N85" s="111"/>
      <c r="O85" s="111"/>
      <c r="P85" s="111"/>
    </row>
    <row r="86" spans="3:16" x14ac:dyDescent="0.3">
      <c r="C86" s="114"/>
      <c r="D86" s="233" t="s">
        <v>1072</v>
      </c>
      <c r="E86" s="234" t="s">
        <v>0</v>
      </c>
      <c r="F86" s="235">
        <v>1</v>
      </c>
      <c r="G86" s="236">
        <v>1.5</v>
      </c>
      <c r="H86" s="236"/>
      <c r="I86" s="236">
        <v>2.2999999999999998</v>
      </c>
      <c r="J86" s="235">
        <v>1</v>
      </c>
      <c r="K86" s="237"/>
      <c r="L86" s="237">
        <f t="shared" si="9"/>
        <v>3.4499999999999997</v>
      </c>
      <c r="M86" s="111"/>
      <c r="N86" s="111"/>
      <c r="O86" s="111"/>
      <c r="P86" s="111"/>
    </row>
    <row r="87" spans="3:16" x14ac:dyDescent="0.3">
      <c r="C87" s="114"/>
      <c r="D87" s="233" t="s">
        <v>1073</v>
      </c>
      <c r="E87" s="234" t="s">
        <v>0</v>
      </c>
      <c r="F87" s="235">
        <v>1</v>
      </c>
      <c r="G87" s="236">
        <v>0.9</v>
      </c>
      <c r="H87" s="236"/>
      <c r="I87" s="236">
        <v>2.2999999999999998</v>
      </c>
      <c r="J87" s="235">
        <v>1</v>
      </c>
      <c r="K87" s="237"/>
      <c r="L87" s="237">
        <f t="shared" si="9"/>
        <v>2.0699999999999998</v>
      </c>
      <c r="M87" s="111"/>
      <c r="N87" s="111"/>
      <c r="O87" s="111"/>
      <c r="P87" s="111"/>
    </row>
    <row r="88" spans="3:16" x14ac:dyDescent="0.3">
      <c r="C88" s="114"/>
      <c r="D88" s="265"/>
      <c r="E88" s="116"/>
      <c r="F88" s="109"/>
      <c r="G88" s="110"/>
      <c r="H88" s="110"/>
      <c r="I88" s="110"/>
      <c r="J88" s="109"/>
      <c r="K88" s="111"/>
      <c r="L88" s="111"/>
      <c r="M88" s="111"/>
      <c r="N88" s="111"/>
      <c r="O88" s="111"/>
      <c r="P88" s="111"/>
    </row>
    <row r="89" spans="3:16" x14ac:dyDescent="0.3">
      <c r="C89" s="99" t="s">
        <v>1183</v>
      </c>
      <c r="D89" s="226" t="s">
        <v>519</v>
      </c>
      <c r="E89" s="101" t="s">
        <v>0</v>
      </c>
      <c r="F89" s="1"/>
      <c r="G89" s="2"/>
      <c r="H89" s="2"/>
      <c r="I89" s="2"/>
      <c r="J89" s="3"/>
      <c r="K89" s="103"/>
      <c r="L89" s="103"/>
      <c r="M89" s="103"/>
      <c r="N89" s="103"/>
      <c r="O89" s="103"/>
      <c r="P89" s="103">
        <f>SUM(L89:L128)</f>
        <v>23.736999999999998</v>
      </c>
    </row>
    <row r="90" spans="3:16" x14ac:dyDescent="0.3">
      <c r="C90" s="106"/>
      <c r="D90" s="120" t="s">
        <v>127</v>
      </c>
      <c r="E90" s="343"/>
      <c r="F90" s="344"/>
      <c r="G90" s="306"/>
      <c r="H90" s="306"/>
      <c r="I90" s="306" t="s">
        <v>1017</v>
      </c>
      <c r="J90" s="345"/>
      <c r="K90" s="346"/>
      <c r="L90" s="346"/>
      <c r="M90" s="113"/>
      <c r="N90" s="113"/>
      <c r="O90" s="113"/>
      <c r="P90" s="113"/>
    </row>
    <row r="91" spans="3:16" x14ac:dyDescent="0.3">
      <c r="C91" s="114"/>
      <c r="D91" s="347" t="s">
        <v>1074</v>
      </c>
      <c r="E91" s="314" t="s">
        <v>0</v>
      </c>
      <c r="F91" s="250">
        <v>1</v>
      </c>
      <c r="G91" s="335">
        <v>2.2000000000000002</v>
      </c>
      <c r="H91" s="335">
        <v>0.15</v>
      </c>
      <c r="I91" s="335">
        <v>0.2</v>
      </c>
      <c r="J91" s="250">
        <v>1</v>
      </c>
      <c r="K91" s="320"/>
      <c r="L91" s="320">
        <f>((I91)+H91)*F91*G91*J91</f>
        <v>0.77</v>
      </c>
      <c r="M91" s="111"/>
      <c r="N91" s="111"/>
      <c r="O91" s="111"/>
      <c r="P91" s="111"/>
    </row>
    <row r="92" spans="3:16" x14ac:dyDescent="0.3">
      <c r="C92" s="114"/>
      <c r="D92" s="347" t="s">
        <v>1075</v>
      </c>
      <c r="E92" s="314" t="s">
        <v>0</v>
      </c>
      <c r="F92" s="250">
        <v>1</v>
      </c>
      <c r="G92" s="335">
        <v>2.2000000000000002</v>
      </c>
      <c r="H92" s="335">
        <v>0.15</v>
      </c>
      <c r="I92" s="335">
        <v>0.4</v>
      </c>
      <c r="J92" s="250">
        <v>1</v>
      </c>
      <c r="K92" s="320"/>
      <c r="L92" s="320">
        <f t="shared" ref="L92:L104" si="10">((I92)+H92)*F92*G92*J92</f>
        <v>1.2100000000000002</v>
      </c>
      <c r="M92" s="111"/>
      <c r="N92" s="111"/>
      <c r="O92" s="111"/>
      <c r="P92" s="111"/>
    </row>
    <row r="93" spans="3:16" x14ac:dyDescent="0.3">
      <c r="C93" s="114"/>
      <c r="D93" s="347" t="s">
        <v>1076</v>
      </c>
      <c r="E93" s="314" t="s">
        <v>0</v>
      </c>
      <c r="F93" s="250">
        <v>1</v>
      </c>
      <c r="G93" s="335">
        <v>1.23</v>
      </c>
      <c r="H93" s="335">
        <v>0.3</v>
      </c>
      <c r="I93" s="335">
        <v>0.4</v>
      </c>
      <c r="J93" s="250">
        <v>1</v>
      </c>
      <c r="K93" s="320"/>
      <c r="L93" s="320">
        <f t="shared" si="10"/>
        <v>0.86099999999999999</v>
      </c>
      <c r="M93" s="111"/>
      <c r="N93" s="111"/>
      <c r="O93" s="111"/>
      <c r="P93" s="111"/>
    </row>
    <row r="94" spans="3:16" x14ac:dyDescent="0.3">
      <c r="C94" s="114"/>
      <c r="D94" s="347" t="s">
        <v>1077</v>
      </c>
      <c r="E94" s="314" t="s">
        <v>0</v>
      </c>
      <c r="F94" s="250">
        <v>1</v>
      </c>
      <c r="G94" s="335">
        <v>2.2000000000000002</v>
      </c>
      <c r="H94" s="335">
        <v>0.15</v>
      </c>
      <c r="I94" s="335">
        <v>0.15</v>
      </c>
      <c r="J94" s="250">
        <v>1</v>
      </c>
      <c r="K94" s="320"/>
      <c r="L94" s="320">
        <f t="shared" si="10"/>
        <v>0.66</v>
      </c>
      <c r="M94" s="111"/>
      <c r="N94" s="111"/>
      <c r="O94" s="111"/>
      <c r="P94" s="111"/>
    </row>
    <row r="95" spans="3:16" x14ac:dyDescent="0.3">
      <c r="C95" s="114"/>
      <c r="D95" s="347" t="s">
        <v>1078</v>
      </c>
      <c r="E95" s="314" t="s">
        <v>0</v>
      </c>
      <c r="F95" s="250">
        <v>1</v>
      </c>
      <c r="G95" s="335">
        <v>2.2000000000000002</v>
      </c>
      <c r="H95" s="335">
        <v>0.15</v>
      </c>
      <c r="I95" s="335">
        <v>0.15</v>
      </c>
      <c r="J95" s="250">
        <v>1</v>
      </c>
      <c r="K95" s="320"/>
      <c r="L95" s="320">
        <f t="shared" si="10"/>
        <v>0.66</v>
      </c>
      <c r="M95" s="111"/>
      <c r="N95" s="111"/>
      <c r="O95" s="111"/>
      <c r="P95" s="111"/>
    </row>
    <row r="96" spans="3:16" x14ac:dyDescent="0.3">
      <c r="C96" s="114"/>
      <c r="D96" s="347" t="s">
        <v>1079</v>
      </c>
      <c r="E96" s="314" t="s">
        <v>0</v>
      </c>
      <c r="F96" s="250">
        <v>1</v>
      </c>
      <c r="G96" s="335">
        <v>1.23</v>
      </c>
      <c r="H96" s="335">
        <v>0.3</v>
      </c>
      <c r="I96" s="335">
        <v>0.4</v>
      </c>
      <c r="J96" s="250">
        <v>1</v>
      </c>
      <c r="K96" s="320"/>
      <c r="L96" s="320">
        <f t="shared" si="10"/>
        <v>0.86099999999999999</v>
      </c>
      <c r="M96" s="111"/>
      <c r="N96" s="111"/>
      <c r="O96" s="111"/>
      <c r="P96" s="111"/>
    </row>
    <row r="97" spans="3:16" x14ac:dyDescent="0.3">
      <c r="C97" s="114"/>
      <c r="D97" s="347" t="s">
        <v>1080</v>
      </c>
      <c r="E97" s="314" t="s">
        <v>0</v>
      </c>
      <c r="F97" s="250">
        <v>1</v>
      </c>
      <c r="G97" s="335">
        <v>1.87</v>
      </c>
      <c r="H97" s="335">
        <v>0.15</v>
      </c>
      <c r="I97" s="335">
        <v>0.6</v>
      </c>
      <c r="J97" s="250">
        <v>1</v>
      </c>
      <c r="K97" s="320"/>
      <c r="L97" s="320">
        <f>((I97)+H97)*F97*G97*J97</f>
        <v>1.4025000000000001</v>
      </c>
      <c r="M97" s="111"/>
      <c r="N97" s="111"/>
      <c r="O97" s="111"/>
      <c r="P97" s="111"/>
    </row>
    <row r="98" spans="3:16" x14ac:dyDescent="0.3">
      <c r="C98" s="114"/>
      <c r="D98" s="347" t="s">
        <v>1081</v>
      </c>
      <c r="E98" s="314" t="s">
        <v>0</v>
      </c>
      <c r="F98" s="250">
        <v>1</v>
      </c>
      <c r="G98" s="335">
        <v>1.96</v>
      </c>
      <c r="H98" s="335">
        <v>0.6</v>
      </c>
      <c r="I98" s="335">
        <v>0.4</v>
      </c>
      <c r="J98" s="250">
        <v>1</v>
      </c>
      <c r="K98" s="320"/>
      <c r="L98" s="320">
        <f t="shared" si="10"/>
        <v>1.96</v>
      </c>
      <c r="M98" s="111"/>
      <c r="N98" s="111"/>
      <c r="O98" s="111"/>
      <c r="P98" s="111"/>
    </row>
    <row r="99" spans="3:16" x14ac:dyDescent="0.3">
      <c r="C99" s="114"/>
      <c r="D99" s="347" t="s">
        <v>1054</v>
      </c>
      <c r="E99" s="348" t="s">
        <v>0</v>
      </c>
      <c r="F99" s="349">
        <v>1</v>
      </c>
      <c r="G99" s="350">
        <v>1.66</v>
      </c>
      <c r="H99" s="336">
        <v>0.3</v>
      </c>
      <c r="I99" s="351"/>
      <c r="J99" s="352">
        <v>1</v>
      </c>
      <c r="K99" s="351"/>
      <c r="L99" s="320">
        <f t="shared" si="10"/>
        <v>0.49799999999999994</v>
      </c>
      <c r="M99" s="111"/>
      <c r="N99" s="111"/>
      <c r="O99" s="111"/>
      <c r="P99" s="111"/>
    </row>
    <row r="100" spans="3:16" x14ac:dyDescent="0.3">
      <c r="C100" s="114"/>
      <c r="D100" s="347" t="s">
        <v>1082</v>
      </c>
      <c r="E100" s="348" t="s">
        <v>0</v>
      </c>
      <c r="F100" s="349">
        <v>1</v>
      </c>
      <c r="G100" s="350">
        <v>3.75</v>
      </c>
      <c r="H100" s="336">
        <v>0.3</v>
      </c>
      <c r="I100" s="351"/>
      <c r="J100" s="352">
        <v>1</v>
      </c>
      <c r="K100" s="351"/>
      <c r="L100" s="320">
        <f t="shared" si="10"/>
        <v>1.125</v>
      </c>
      <c r="M100" s="111"/>
      <c r="N100" s="111"/>
      <c r="O100" s="111"/>
      <c r="P100" s="111"/>
    </row>
    <row r="101" spans="3:16" x14ac:dyDescent="0.3">
      <c r="C101" s="114"/>
      <c r="D101" s="347" t="s">
        <v>1083</v>
      </c>
      <c r="E101" s="348" t="s">
        <v>0</v>
      </c>
      <c r="F101" s="349">
        <v>1</v>
      </c>
      <c r="G101" s="350">
        <v>3.71</v>
      </c>
      <c r="H101" s="336">
        <v>0.3</v>
      </c>
      <c r="I101" s="351"/>
      <c r="J101" s="352">
        <v>1</v>
      </c>
      <c r="K101" s="351"/>
      <c r="L101" s="320">
        <f t="shared" si="10"/>
        <v>1.113</v>
      </c>
      <c r="M101" s="111"/>
      <c r="N101" s="111"/>
      <c r="O101" s="111"/>
      <c r="P101" s="111"/>
    </row>
    <row r="102" spans="3:16" x14ac:dyDescent="0.3">
      <c r="C102" s="114"/>
      <c r="D102" s="347" t="s">
        <v>1084</v>
      </c>
      <c r="E102" s="348" t="s">
        <v>0</v>
      </c>
      <c r="F102" s="349">
        <v>1</v>
      </c>
      <c r="G102" s="350">
        <v>3.59</v>
      </c>
      <c r="H102" s="336">
        <v>0.3</v>
      </c>
      <c r="I102" s="351"/>
      <c r="J102" s="352">
        <v>1</v>
      </c>
      <c r="K102" s="351"/>
      <c r="L102" s="320">
        <f t="shared" si="10"/>
        <v>1.077</v>
      </c>
      <c r="M102" s="111"/>
      <c r="N102" s="111"/>
      <c r="O102" s="111"/>
      <c r="P102" s="111"/>
    </row>
    <row r="103" spans="3:16" x14ac:dyDescent="0.3">
      <c r="C103" s="114"/>
      <c r="D103" s="347" t="s">
        <v>1085</v>
      </c>
      <c r="E103" s="348" t="s">
        <v>0</v>
      </c>
      <c r="F103" s="349">
        <v>1</v>
      </c>
      <c r="G103" s="350">
        <v>2.25</v>
      </c>
      <c r="H103" s="336">
        <v>0.3</v>
      </c>
      <c r="I103" s="351"/>
      <c r="J103" s="352">
        <v>1</v>
      </c>
      <c r="K103" s="351"/>
      <c r="L103" s="320">
        <f t="shared" si="10"/>
        <v>0.67499999999999993</v>
      </c>
      <c r="M103" s="111"/>
      <c r="N103" s="111"/>
      <c r="O103" s="111"/>
      <c r="P103" s="111"/>
    </row>
    <row r="104" spans="3:16" x14ac:dyDescent="0.3">
      <c r="C104" s="114"/>
      <c r="D104" s="347" t="s">
        <v>1086</v>
      </c>
      <c r="E104" s="348" t="s">
        <v>0</v>
      </c>
      <c r="F104" s="349">
        <v>1</v>
      </c>
      <c r="G104" s="350">
        <v>3.27</v>
      </c>
      <c r="H104" s="336">
        <v>0.3</v>
      </c>
      <c r="I104" s="351"/>
      <c r="J104" s="352">
        <v>1</v>
      </c>
      <c r="K104" s="351"/>
      <c r="L104" s="320">
        <f t="shared" si="10"/>
        <v>0.98099999999999998</v>
      </c>
      <c r="M104" s="111"/>
      <c r="N104" s="111"/>
      <c r="O104" s="111"/>
      <c r="P104" s="111"/>
    </row>
    <row r="105" spans="3:16" x14ac:dyDescent="0.3">
      <c r="C105" s="114"/>
      <c r="D105" s="120" t="s">
        <v>68</v>
      </c>
      <c r="E105" s="343"/>
      <c r="F105" s="344"/>
      <c r="G105" s="306"/>
      <c r="H105" s="306"/>
      <c r="I105" s="306" t="s">
        <v>1017</v>
      </c>
      <c r="J105" s="345"/>
      <c r="K105" s="346"/>
      <c r="L105" s="346"/>
      <c r="M105" s="111"/>
      <c r="N105" s="111"/>
      <c r="O105" s="111"/>
      <c r="P105" s="111"/>
    </row>
    <row r="106" spans="3:16" x14ac:dyDescent="0.3">
      <c r="C106" s="114"/>
      <c r="D106" s="347" t="s">
        <v>1074</v>
      </c>
      <c r="E106" s="314" t="s">
        <v>0</v>
      </c>
      <c r="F106" s="250">
        <v>1</v>
      </c>
      <c r="G106" s="335">
        <v>2.2000000000000002</v>
      </c>
      <c r="H106" s="335">
        <v>0.15</v>
      </c>
      <c r="I106" s="335"/>
      <c r="J106" s="250">
        <v>1</v>
      </c>
      <c r="K106" s="320"/>
      <c r="L106" s="320">
        <f>((I106)+H106)*F106*G106*J106</f>
        <v>0.33</v>
      </c>
      <c r="M106" s="111"/>
      <c r="N106" s="111"/>
      <c r="O106" s="111"/>
      <c r="P106" s="111"/>
    </row>
    <row r="107" spans="3:16" x14ac:dyDescent="0.3">
      <c r="C107" s="114"/>
      <c r="D107" s="347"/>
      <c r="E107" s="314" t="s">
        <v>0</v>
      </c>
      <c r="F107" s="250">
        <v>1</v>
      </c>
      <c r="G107" s="335">
        <v>0.47</v>
      </c>
      <c r="H107" s="335">
        <v>0.15</v>
      </c>
      <c r="I107" s="335"/>
      <c r="J107" s="250">
        <v>1</v>
      </c>
      <c r="K107" s="320"/>
      <c r="L107" s="320">
        <f>((I107)+H107)*F107*G107*J107</f>
        <v>7.0499999999999993E-2</v>
      </c>
      <c r="M107" s="111"/>
      <c r="N107" s="111"/>
      <c r="O107" s="111"/>
      <c r="P107" s="111"/>
    </row>
    <row r="108" spans="3:16" x14ac:dyDescent="0.3">
      <c r="C108" s="114"/>
      <c r="D108" s="347" t="s">
        <v>1075</v>
      </c>
      <c r="E108" s="314" t="s">
        <v>0</v>
      </c>
      <c r="F108" s="250">
        <v>1</v>
      </c>
      <c r="G108" s="335">
        <v>2.2000000000000002</v>
      </c>
      <c r="H108" s="335">
        <v>0.15</v>
      </c>
      <c r="I108" s="335"/>
      <c r="J108" s="250">
        <v>1</v>
      </c>
      <c r="K108" s="320"/>
      <c r="L108" s="320">
        <f t="shared" ref="L108:L117" si="11">((I108)+H108)*F108*G108*J108</f>
        <v>0.33</v>
      </c>
      <c r="M108" s="111"/>
      <c r="N108" s="111"/>
      <c r="O108" s="111"/>
      <c r="P108" s="111"/>
    </row>
    <row r="109" spans="3:16" x14ac:dyDescent="0.3">
      <c r="C109" s="114"/>
      <c r="D109" s="347"/>
      <c r="E109" s="314" t="s">
        <v>0</v>
      </c>
      <c r="F109" s="250">
        <v>1</v>
      </c>
      <c r="G109" s="335">
        <v>0.55000000000000004</v>
      </c>
      <c r="H109" s="335">
        <v>0.15</v>
      </c>
      <c r="I109" s="335"/>
      <c r="J109" s="250">
        <v>1</v>
      </c>
      <c r="K109" s="320"/>
      <c r="L109" s="320">
        <f t="shared" si="11"/>
        <v>8.2500000000000004E-2</v>
      </c>
      <c r="M109" s="111"/>
      <c r="N109" s="111"/>
      <c r="O109" s="111"/>
      <c r="P109" s="111"/>
    </row>
    <row r="110" spans="3:16" x14ac:dyDescent="0.3">
      <c r="C110" s="114"/>
      <c r="D110" s="347" t="s">
        <v>1076</v>
      </c>
      <c r="E110" s="314" t="s">
        <v>0</v>
      </c>
      <c r="F110" s="250">
        <v>1</v>
      </c>
      <c r="G110" s="335">
        <v>1.23</v>
      </c>
      <c r="H110" s="335">
        <v>0.3</v>
      </c>
      <c r="I110" s="335"/>
      <c r="J110" s="250">
        <v>1</v>
      </c>
      <c r="K110" s="320"/>
      <c r="L110" s="320">
        <f t="shared" si="11"/>
        <v>0.36899999999999999</v>
      </c>
      <c r="M110" s="111"/>
      <c r="N110" s="111"/>
      <c r="O110" s="111"/>
      <c r="P110" s="111"/>
    </row>
    <row r="111" spans="3:16" x14ac:dyDescent="0.3">
      <c r="C111" s="114"/>
      <c r="D111" s="347"/>
      <c r="E111" s="314" t="s">
        <v>0</v>
      </c>
      <c r="F111" s="250">
        <v>1</v>
      </c>
      <c r="G111" s="335">
        <v>0.34</v>
      </c>
      <c r="H111" s="335">
        <v>0.15</v>
      </c>
      <c r="I111" s="335"/>
      <c r="J111" s="250">
        <v>1</v>
      </c>
      <c r="K111" s="320"/>
      <c r="L111" s="320">
        <f t="shared" si="11"/>
        <v>5.1000000000000004E-2</v>
      </c>
      <c r="M111" s="111"/>
      <c r="N111" s="111"/>
      <c r="O111" s="111"/>
      <c r="P111" s="111"/>
    </row>
    <row r="112" spans="3:16" x14ac:dyDescent="0.3">
      <c r="C112" s="114"/>
      <c r="D112" s="347" t="s">
        <v>1077</v>
      </c>
      <c r="E112" s="314" t="s">
        <v>0</v>
      </c>
      <c r="F112" s="250">
        <v>1</v>
      </c>
      <c r="G112" s="335">
        <v>2.2000000000000002</v>
      </c>
      <c r="H112" s="335">
        <v>0.3</v>
      </c>
      <c r="I112" s="335"/>
      <c r="J112" s="250">
        <v>1</v>
      </c>
      <c r="K112" s="320"/>
      <c r="L112" s="320">
        <f t="shared" si="11"/>
        <v>0.66</v>
      </c>
      <c r="M112" s="111"/>
      <c r="N112" s="111"/>
      <c r="O112" s="111"/>
      <c r="P112" s="111"/>
    </row>
    <row r="113" spans="3:16" x14ac:dyDescent="0.3">
      <c r="C113" s="114"/>
      <c r="D113" s="347"/>
      <c r="E113" s="314" t="s">
        <v>0</v>
      </c>
      <c r="F113" s="250">
        <v>1</v>
      </c>
      <c r="G113" s="335">
        <v>0.36</v>
      </c>
      <c r="H113" s="335">
        <v>0.15</v>
      </c>
      <c r="I113" s="335"/>
      <c r="J113" s="250">
        <v>1</v>
      </c>
      <c r="K113" s="320"/>
      <c r="L113" s="320">
        <f t="shared" si="11"/>
        <v>5.3999999999999999E-2</v>
      </c>
      <c r="M113" s="111"/>
      <c r="N113" s="111"/>
      <c r="O113" s="111"/>
      <c r="P113" s="111"/>
    </row>
    <row r="114" spans="3:16" x14ac:dyDescent="0.3">
      <c r="C114" s="114"/>
      <c r="D114" s="347" t="s">
        <v>1078</v>
      </c>
      <c r="E114" s="314" t="s">
        <v>0</v>
      </c>
      <c r="F114" s="250">
        <v>1</v>
      </c>
      <c r="G114" s="335">
        <v>2.2000000000000002</v>
      </c>
      <c r="H114" s="335">
        <v>0.3</v>
      </c>
      <c r="I114" s="335"/>
      <c r="J114" s="250">
        <v>1</v>
      </c>
      <c r="K114" s="320"/>
      <c r="L114" s="320">
        <f t="shared" si="11"/>
        <v>0.66</v>
      </c>
      <c r="M114" s="111"/>
      <c r="N114" s="111"/>
      <c r="O114" s="111"/>
      <c r="P114" s="111"/>
    </row>
    <row r="115" spans="3:16" x14ac:dyDescent="0.3">
      <c r="C115" s="114"/>
      <c r="D115" s="347"/>
      <c r="E115" s="314" t="s">
        <v>0</v>
      </c>
      <c r="F115" s="250">
        <v>1</v>
      </c>
      <c r="G115" s="335">
        <v>0.36</v>
      </c>
      <c r="H115" s="335">
        <v>0.15</v>
      </c>
      <c r="I115" s="335"/>
      <c r="J115" s="250">
        <v>1</v>
      </c>
      <c r="K115" s="320"/>
      <c r="L115" s="320">
        <f t="shared" si="11"/>
        <v>5.3999999999999999E-2</v>
      </c>
      <c r="M115" s="111"/>
      <c r="N115" s="111"/>
      <c r="O115" s="111"/>
      <c r="P115" s="111"/>
    </row>
    <row r="116" spans="3:16" x14ac:dyDescent="0.3">
      <c r="C116" s="114"/>
      <c r="D116" s="347" t="s">
        <v>1079</v>
      </c>
      <c r="E116" s="314" t="s">
        <v>0</v>
      </c>
      <c r="F116" s="250">
        <v>1</v>
      </c>
      <c r="G116" s="335">
        <v>1.23</v>
      </c>
      <c r="H116" s="335">
        <v>0.3</v>
      </c>
      <c r="I116" s="335"/>
      <c r="J116" s="250">
        <v>1</v>
      </c>
      <c r="K116" s="320"/>
      <c r="L116" s="320">
        <f t="shared" si="11"/>
        <v>0.36899999999999999</v>
      </c>
      <c r="M116" s="111"/>
      <c r="N116" s="111"/>
      <c r="O116" s="111"/>
      <c r="P116" s="111"/>
    </row>
    <row r="117" spans="3:16" x14ac:dyDescent="0.3">
      <c r="C117" s="114"/>
      <c r="D117" s="347"/>
      <c r="E117" s="314" t="s">
        <v>0</v>
      </c>
      <c r="F117" s="250">
        <v>1</v>
      </c>
      <c r="G117" s="335">
        <v>0.34</v>
      </c>
      <c r="H117" s="335">
        <v>0.15</v>
      </c>
      <c r="I117" s="335"/>
      <c r="J117" s="250">
        <v>1</v>
      </c>
      <c r="K117" s="320"/>
      <c r="L117" s="320">
        <f t="shared" si="11"/>
        <v>5.1000000000000004E-2</v>
      </c>
      <c r="M117" s="111"/>
      <c r="N117" s="111"/>
      <c r="O117" s="111"/>
      <c r="P117" s="111"/>
    </row>
    <row r="118" spans="3:16" x14ac:dyDescent="0.3">
      <c r="C118" s="114"/>
      <c r="D118" s="347" t="s">
        <v>1080</v>
      </c>
      <c r="E118" s="314" t="s">
        <v>0</v>
      </c>
      <c r="F118" s="250">
        <v>1</v>
      </c>
      <c r="G118" s="335">
        <v>1.87</v>
      </c>
      <c r="H118" s="335">
        <v>0.3</v>
      </c>
      <c r="I118" s="335"/>
      <c r="J118" s="250">
        <v>1</v>
      </c>
      <c r="K118" s="320"/>
      <c r="L118" s="320">
        <f>((I118)+H118)*F118*G118*J118</f>
        <v>0.56100000000000005</v>
      </c>
      <c r="M118" s="111"/>
      <c r="N118" s="111"/>
      <c r="O118" s="111"/>
      <c r="P118" s="111"/>
    </row>
    <row r="119" spans="3:16" x14ac:dyDescent="0.3">
      <c r="C119" s="114"/>
      <c r="D119" s="347"/>
      <c r="E119" s="314" t="s">
        <v>0</v>
      </c>
      <c r="F119" s="250">
        <v>1</v>
      </c>
      <c r="G119" s="335">
        <v>0.43</v>
      </c>
      <c r="H119" s="335">
        <v>0.15</v>
      </c>
      <c r="I119" s="335"/>
      <c r="J119" s="250">
        <v>1</v>
      </c>
      <c r="K119" s="320"/>
      <c r="L119" s="320">
        <f t="shared" ref="L119:L127" si="12">((I119)+H119)*F119*G119*J119</f>
        <v>6.4500000000000002E-2</v>
      </c>
      <c r="M119" s="111"/>
      <c r="N119" s="111"/>
      <c r="O119" s="111"/>
      <c r="P119" s="111"/>
    </row>
    <row r="120" spans="3:16" x14ac:dyDescent="0.3">
      <c r="C120" s="114"/>
      <c r="D120" s="347" t="s">
        <v>1081</v>
      </c>
      <c r="E120" s="314" t="s">
        <v>0</v>
      </c>
      <c r="F120" s="250">
        <v>1</v>
      </c>
      <c r="G120" s="335">
        <v>1.96</v>
      </c>
      <c r="H120" s="335">
        <v>0.3</v>
      </c>
      <c r="I120" s="335"/>
      <c r="J120" s="250">
        <v>1</v>
      </c>
      <c r="K120" s="320"/>
      <c r="L120" s="320">
        <f t="shared" si="12"/>
        <v>0.58799999999999997</v>
      </c>
      <c r="M120" s="111"/>
      <c r="N120" s="111"/>
      <c r="O120" s="111"/>
      <c r="P120" s="111"/>
    </row>
    <row r="121" spans="3:16" x14ac:dyDescent="0.3">
      <c r="C121" s="114"/>
      <c r="D121" s="347"/>
      <c r="E121" s="314" t="s">
        <v>0</v>
      </c>
      <c r="F121" s="250">
        <v>1</v>
      </c>
      <c r="G121" s="335">
        <v>0.4</v>
      </c>
      <c r="H121" s="335">
        <v>0.3</v>
      </c>
      <c r="I121" s="335"/>
      <c r="J121" s="250">
        <v>1</v>
      </c>
      <c r="K121" s="320"/>
      <c r="L121" s="320">
        <f t="shared" si="12"/>
        <v>0.12</v>
      </c>
      <c r="M121" s="111"/>
      <c r="N121" s="111"/>
      <c r="O121" s="111"/>
      <c r="P121" s="111"/>
    </row>
    <row r="122" spans="3:16" x14ac:dyDescent="0.3">
      <c r="C122" s="114"/>
      <c r="D122" s="347" t="s">
        <v>1054</v>
      </c>
      <c r="E122" s="348" t="s">
        <v>0</v>
      </c>
      <c r="F122" s="349">
        <v>1</v>
      </c>
      <c r="G122" s="350">
        <v>1.66</v>
      </c>
      <c r="H122" s="336">
        <v>0.3</v>
      </c>
      <c r="I122" s="351"/>
      <c r="J122" s="352">
        <v>1</v>
      </c>
      <c r="K122" s="351"/>
      <c r="L122" s="320">
        <f t="shared" si="12"/>
        <v>0.49799999999999994</v>
      </c>
      <c r="M122" s="111"/>
      <c r="N122" s="111"/>
      <c r="O122" s="111"/>
      <c r="P122" s="111"/>
    </row>
    <row r="123" spans="3:16" x14ac:dyDescent="0.3">
      <c r="C123" s="114"/>
      <c r="D123" s="347" t="s">
        <v>1082</v>
      </c>
      <c r="E123" s="348" t="s">
        <v>0</v>
      </c>
      <c r="F123" s="349">
        <v>1</v>
      </c>
      <c r="G123" s="350">
        <v>3.75</v>
      </c>
      <c r="H123" s="336">
        <v>0.3</v>
      </c>
      <c r="I123" s="351"/>
      <c r="J123" s="352">
        <v>1</v>
      </c>
      <c r="K123" s="351"/>
      <c r="L123" s="320">
        <f t="shared" si="12"/>
        <v>1.125</v>
      </c>
      <c r="M123" s="111"/>
      <c r="N123" s="111"/>
      <c r="O123" s="111"/>
      <c r="P123" s="111"/>
    </row>
    <row r="124" spans="3:16" x14ac:dyDescent="0.3">
      <c r="C124" s="114"/>
      <c r="D124" s="347" t="s">
        <v>1083</v>
      </c>
      <c r="E124" s="348" t="s">
        <v>0</v>
      </c>
      <c r="F124" s="349">
        <v>1</v>
      </c>
      <c r="G124" s="350">
        <v>3.71</v>
      </c>
      <c r="H124" s="336">
        <v>0.3</v>
      </c>
      <c r="I124" s="351"/>
      <c r="J124" s="352">
        <v>1</v>
      </c>
      <c r="K124" s="351"/>
      <c r="L124" s="320">
        <f t="shared" si="12"/>
        <v>1.113</v>
      </c>
      <c r="M124" s="111"/>
      <c r="N124" s="111"/>
      <c r="O124" s="111"/>
      <c r="P124" s="111"/>
    </row>
    <row r="125" spans="3:16" x14ac:dyDescent="0.3">
      <c r="C125" s="114"/>
      <c r="D125" s="347" t="s">
        <v>1084</v>
      </c>
      <c r="E125" s="348" t="s">
        <v>0</v>
      </c>
      <c r="F125" s="349">
        <v>1</v>
      </c>
      <c r="G125" s="350">
        <v>3.59</v>
      </c>
      <c r="H125" s="336">
        <v>0.3</v>
      </c>
      <c r="I125" s="351"/>
      <c r="J125" s="352">
        <v>1</v>
      </c>
      <c r="K125" s="351"/>
      <c r="L125" s="320">
        <f t="shared" si="12"/>
        <v>1.077</v>
      </c>
      <c r="M125" s="111"/>
      <c r="N125" s="111"/>
      <c r="O125" s="111"/>
      <c r="P125" s="111"/>
    </row>
    <row r="126" spans="3:16" x14ac:dyDescent="0.3">
      <c r="C126" s="114"/>
      <c r="D126" s="347" t="s">
        <v>1085</v>
      </c>
      <c r="E126" s="348" t="s">
        <v>0</v>
      </c>
      <c r="F126" s="349">
        <v>1</v>
      </c>
      <c r="G126" s="350">
        <v>2.25</v>
      </c>
      <c r="H126" s="336">
        <v>0.3</v>
      </c>
      <c r="I126" s="351"/>
      <c r="J126" s="352">
        <v>1</v>
      </c>
      <c r="K126" s="351"/>
      <c r="L126" s="320">
        <f t="shared" si="12"/>
        <v>0.67499999999999993</v>
      </c>
      <c r="M126" s="111"/>
      <c r="N126" s="111"/>
      <c r="O126" s="111"/>
      <c r="P126" s="111"/>
    </row>
    <row r="127" spans="3:16" x14ac:dyDescent="0.3">
      <c r="C127" s="114"/>
      <c r="D127" s="347" t="s">
        <v>1086</v>
      </c>
      <c r="E127" s="348" t="s">
        <v>0</v>
      </c>
      <c r="F127" s="349">
        <v>1</v>
      </c>
      <c r="G127" s="350">
        <v>3.27</v>
      </c>
      <c r="H127" s="336">
        <v>0.3</v>
      </c>
      <c r="I127" s="351"/>
      <c r="J127" s="352">
        <v>1</v>
      </c>
      <c r="K127" s="351"/>
      <c r="L127" s="320">
        <f t="shared" si="12"/>
        <v>0.98099999999999998</v>
      </c>
      <c r="M127" s="111"/>
      <c r="N127" s="111"/>
      <c r="O127" s="111"/>
      <c r="P127" s="111"/>
    </row>
    <row r="128" spans="3:16" ht="14.4" x14ac:dyDescent="0.3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3:16" x14ac:dyDescent="0.3">
      <c r="C129" s="99" t="s">
        <v>1184</v>
      </c>
      <c r="D129" s="100" t="s">
        <v>420</v>
      </c>
      <c r="E129" s="101" t="s">
        <v>126</v>
      </c>
      <c r="F129" s="1"/>
      <c r="G129" s="2"/>
      <c r="H129" s="2"/>
      <c r="I129" s="2"/>
      <c r="J129" s="102"/>
      <c r="K129" s="103"/>
      <c r="L129" s="103"/>
      <c r="M129" s="103"/>
      <c r="N129" s="103"/>
      <c r="O129" s="103"/>
      <c r="P129" s="103">
        <f>SUM(L129:L143)</f>
        <v>10.233000000000001</v>
      </c>
    </row>
    <row r="130" spans="3:16" x14ac:dyDescent="0.3">
      <c r="C130" s="106"/>
      <c r="D130" s="120" t="s">
        <v>127</v>
      </c>
      <c r="E130" s="121"/>
      <c r="F130" s="3"/>
      <c r="G130" s="122"/>
      <c r="H130" s="122"/>
      <c r="I130" s="122"/>
      <c r="J130" s="119"/>
      <c r="K130" s="113"/>
      <c r="L130" s="113"/>
      <c r="M130" s="113"/>
      <c r="N130" s="113"/>
      <c r="O130" s="113"/>
      <c r="P130" s="113"/>
    </row>
    <row r="131" spans="3:16" x14ac:dyDescent="0.3">
      <c r="C131" s="332"/>
      <c r="D131" s="353" t="s">
        <v>129</v>
      </c>
      <c r="E131" s="221"/>
      <c r="F131" s="222"/>
      <c r="G131" s="110"/>
      <c r="H131" s="354"/>
      <c r="I131" s="223"/>
      <c r="J131" s="224"/>
      <c r="K131" s="355"/>
      <c r="L131" s="225"/>
      <c r="M131" s="225"/>
      <c r="N131" s="225"/>
      <c r="O131" s="225"/>
      <c r="P131" s="225"/>
    </row>
    <row r="132" spans="3:16" x14ac:dyDescent="0.3">
      <c r="C132" s="114"/>
      <c r="D132" s="258" t="s">
        <v>1035</v>
      </c>
      <c r="E132" s="234" t="s">
        <v>126</v>
      </c>
      <c r="F132" s="235">
        <v>2</v>
      </c>
      <c r="G132" s="236">
        <v>0.15</v>
      </c>
      <c r="H132" s="236">
        <v>0.9</v>
      </c>
      <c r="I132" s="236">
        <v>2.85</v>
      </c>
      <c r="J132" s="242">
        <v>1</v>
      </c>
      <c r="K132" s="237"/>
      <c r="L132" s="237">
        <f>((H132+I132)*2)*F132*G132*J132</f>
        <v>2.25</v>
      </c>
      <c r="M132" s="111"/>
      <c r="N132" s="111"/>
      <c r="O132" s="111"/>
      <c r="P132" s="111"/>
    </row>
    <row r="133" spans="3:16" x14ac:dyDescent="0.3">
      <c r="C133" s="114"/>
      <c r="D133" s="258" t="s">
        <v>1036</v>
      </c>
      <c r="E133" s="234" t="s">
        <v>126</v>
      </c>
      <c r="F133" s="235">
        <v>1</v>
      </c>
      <c r="G133" s="236">
        <v>0.15</v>
      </c>
      <c r="H133" s="236">
        <v>0.9</v>
      </c>
      <c r="I133" s="236">
        <v>2.65</v>
      </c>
      <c r="J133" s="242">
        <v>1</v>
      </c>
      <c r="K133" s="237"/>
      <c r="L133" s="237">
        <f>((H133+I133)*2)*F133*G133*J133</f>
        <v>1.0649999999999999</v>
      </c>
      <c r="M133" s="111"/>
      <c r="N133" s="111"/>
      <c r="O133" s="111"/>
      <c r="P133" s="111"/>
    </row>
    <row r="134" spans="3:16" x14ac:dyDescent="0.3">
      <c r="C134" s="118"/>
      <c r="D134" s="353" t="s">
        <v>124</v>
      </c>
      <c r="E134" s="101"/>
      <c r="F134" s="1"/>
      <c r="G134" s="110"/>
      <c r="H134" s="356"/>
      <c r="I134" s="2"/>
      <c r="J134" s="119"/>
      <c r="K134" s="111"/>
      <c r="L134" s="113"/>
      <c r="M134" s="113"/>
      <c r="N134" s="113"/>
      <c r="O134" s="113"/>
      <c r="P134" s="113"/>
    </row>
    <row r="135" spans="3:16" x14ac:dyDescent="0.3">
      <c r="C135" s="118"/>
      <c r="D135" s="258" t="s">
        <v>1037</v>
      </c>
      <c r="E135" s="234" t="s">
        <v>126</v>
      </c>
      <c r="F135" s="235">
        <v>1</v>
      </c>
      <c r="G135" s="236">
        <v>0.15</v>
      </c>
      <c r="H135" s="236">
        <v>2.2000000000000002</v>
      </c>
      <c r="I135" s="236">
        <v>1.85</v>
      </c>
      <c r="J135" s="242">
        <v>1</v>
      </c>
      <c r="K135" s="237"/>
      <c r="L135" s="237">
        <f>((H135+I135)*2)*F135*G135*J135</f>
        <v>1.2150000000000001</v>
      </c>
      <c r="M135" s="113"/>
      <c r="N135" s="113"/>
      <c r="O135" s="113"/>
      <c r="P135" s="113"/>
    </row>
    <row r="136" spans="3:16" x14ac:dyDescent="0.3">
      <c r="C136" s="118"/>
      <c r="D136" s="258" t="s">
        <v>1038</v>
      </c>
      <c r="E136" s="234" t="s">
        <v>126</v>
      </c>
      <c r="F136" s="235">
        <v>1</v>
      </c>
      <c r="G136" s="236">
        <v>0.15</v>
      </c>
      <c r="H136" s="236">
        <v>1.55</v>
      </c>
      <c r="I136" s="236">
        <v>1.85</v>
      </c>
      <c r="J136" s="242">
        <v>1</v>
      </c>
      <c r="K136" s="237"/>
      <c r="L136" s="237">
        <f>((H136+I136)*2)*F136*G136*J136</f>
        <v>1.02</v>
      </c>
      <c r="M136" s="113"/>
      <c r="N136" s="113"/>
      <c r="O136" s="113"/>
      <c r="P136" s="113"/>
    </row>
    <row r="137" spans="3:16" x14ac:dyDescent="0.3">
      <c r="C137" s="118"/>
      <c r="D137" s="258" t="s">
        <v>1039</v>
      </c>
      <c r="E137" s="234" t="s">
        <v>126</v>
      </c>
      <c r="F137" s="235">
        <v>2</v>
      </c>
      <c r="G137" s="236">
        <v>0.15</v>
      </c>
      <c r="H137" s="236">
        <v>3.7</v>
      </c>
      <c r="I137" s="236">
        <v>1.85</v>
      </c>
      <c r="J137" s="242">
        <v>1</v>
      </c>
      <c r="K137" s="237"/>
      <c r="L137" s="237">
        <f>((H137+I137)*2)*F137*G137*J137</f>
        <v>3.3300000000000005</v>
      </c>
      <c r="M137" s="113"/>
      <c r="N137" s="113"/>
      <c r="O137" s="113"/>
      <c r="P137" s="113"/>
    </row>
    <row r="138" spans="3:16" x14ac:dyDescent="0.3">
      <c r="C138" s="118"/>
      <c r="D138" s="258" t="s">
        <v>1087</v>
      </c>
      <c r="E138" s="234" t="s">
        <v>126</v>
      </c>
      <c r="F138" s="235">
        <v>1</v>
      </c>
      <c r="G138" s="236">
        <v>0.15</v>
      </c>
      <c r="H138" s="236">
        <v>0.76</v>
      </c>
      <c r="I138" s="236">
        <v>0.85</v>
      </c>
      <c r="J138" s="242">
        <v>1</v>
      </c>
      <c r="K138" s="237"/>
      <c r="L138" s="237">
        <f>((H138+I138)*2)*F138*G138*J138</f>
        <v>0.48299999999999993</v>
      </c>
      <c r="M138" s="113"/>
      <c r="N138" s="113"/>
      <c r="O138" s="113"/>
      <c r="P138" s="113"/>
    </row>
    <row r="139" spans="3:16" x14ac:dyDescent="0.3">
      <c r="C139" s="118"/>
      <c r="D139" s="120"/>
      <c r="E139" s="121"/>
      <c r="F139" s="3"/>
      <c r="G139" s="122"/>
      <c r="H139" s="122"/>
      <c r="I139" s="122"/>
      <c r="J139" s="119"/>
      <c r="K139" s="113"/>
      <c r="L139" s="113"/>
      <c r="M139" s="113"/>
      <c r="N139" s="113"/>
      <c r="O139" s="113"/>
      <c r="P139" s="113"/>
    </row>
    <row r="140" spans="3:16" x14ac:dyDescent="0.3">
      <c r="C140" s="106"/>
      <c r="D140" s="120" t="s">
        <v>68</v>
      </c>
      <c r="E140" s="121"/>
      <c r="F140" s="3"/>
      <c r="G140" s="122"/>
      <c r="H140" s="122"/>
      <c r="I140" s="122"/>
      <c r="J140" s="119"/>
      <c r="K140" s="113"/>
      <c r="L140" s="113"/>
      <c r="M140" s="113"/>
      <c r="N140" s="113"/>
      <c r="O140" s="113"/>
      <c r="P140" s="113"/>
    </row>
    <row r="141" spans="3:16" x14ac:dyDescent="0.3">
      <c r="C141" s="332"/>
      <c r="D141" s="353" t="s">
        <v>129</v>
      </c>
      <c r="E141" s="221"/>
      <c r="F141" s="222"/>
      <c r="G141" s="110"/>
      <c r="H141" s="354"/>
      <c r="I141" s="223"/>
      <c r="J141" s="224"/>
      <c r="K141" s="355"/>
      <c r="L141" s="225"/>
      <c r="M141" s="225"/>
      <c r="N141" s="225"/>
      <c r="O141" s="225"/>
      <c r="P141" s="225"/>
    </row>
    <row r="142" spans="3:16" x14ac:dyDescent="0.3">
      <c r="C142" s="114"/>
      <c r="D142" s="258" t="s">
        <v>1088</v>
      </c>
      <c r="E142" s="234" t="s">
        <v>126</v>
      </c>
      <c r="F142" s="235">
        <v>1</v>
      </c>
      <c r="G142" s="236">
        <v>0.15</v>
      </c>
      <c r="H142" s="236">
        <v>0.8</v>
      </c>
      <c r="I142" s="236">
        <v>2.1</v>
      </c>
      <c r="J142" s="242">
        <v>1</v>
      </c>
      <c r="K142" s="237"/>
      <c r="L142" s="237">
        <f>((H142+I142)*2)*F142*G142*J142</f>
        <v>0.87000000000000011</v>
      </c>
      <c r="M142" s="111"/>
      <c r="N142" s="111"/>
      <c r="O142" s="111"/>
      <c r="P142" s="111"/>
    </row>
    <row r="143" spans="3:16" x14ac:dyDescent="0.3">
      <c r="C143" s="326"/>
      <c r="D143" s="117"/>
      <c r="E143" s="116"/>
      <c r="F143" s="109"/>
      <c r="G143" s="110"/>
      <c r="H143" s="110"/>
      <c r="I143" s="110"/>
      <c r="J143" s="112"/>
      <c r="K143" s="111"/>
      <c r="L143" s="331"/>
      <c r="M143" s="331"/>
      <c r="N143" s="331"/>
      <c r="O143" s="331"/>
      <c r="P143" s="331"/>
    </row>
    <row r="144" spans="3:16" x14ac:dyDescent="0.3">
      <c r="C144" s="99" t="s">
        <v>1185</v>
      </c>
      <c r="D144" s="100" t="s">
        <v>159</v>
      </c>
      <c r="E144" s="101" t="s">
        <v>0</v>
      </c>
      <c r="F144" s="1"/>
      <c r="G144" s="2"/>
      <c r="H144" s="2"/>
      <c r="I144" s="2"/>
      <c r="J144" s="102"/>
      <c r="K144" s="103"/>
      <c r="L144" s="103"/>
      <c r="M144" s="103"/>
      <c r="N144" s="103"/>
      <c r="O144" s="103"/>
      <c r="P144" s="103">
        <f>SUM(L144:L166)</f>
        <v>81.999999999999986</v>
      </c>
    </row>
    <row r="145" spans="3:16" x14ac:dyDescent="0.3">
      <c r="C145" s="106"/>
      <c r="D145" s="120" t="s">
        <v>127</v>
      </c>
      <c r="E145" s="121"/>
      <c r="F145" s="3"/>
      <c r="G145" s="122"/>
      <c r="H145" s="122"/>
      <c r="I145" s="122"/>
      <c r="J145" s="119"/>
      <c r="K145" s="113"/>
      <c r="L145" s="113"/>
      <c r="M145" s="113"/>
      <c r="N145" s="113"/>
      <c r="O145" s="113"/>
      <c r="P145" s="113"/>
    </row>
    <row r="146" spans="3:16" x14ac:dyDescent="0.3">
      <c r="C146" s="114"/>
      <c r="D146" s="258" t="s">
        <v>195</v>
      </c>
      <c r="E146" s="234" t="s">
        <v>0</v>
      </c>
      <c r="F146" s="235">
        <v>1</v>
      </c>
      <c r="G146" s="236" t="s">
        <v>156</v>
      </c>
      <c r="H146" s="236">
        <v>3.94</v>
      </c>
      <c r="I146" s="236"/>
      <c r="J146" s="242">
        <v>1</v>
      </c>
      <c r="K146" s="237"/>
      <c r="L146" s="237">
        <f t="shared" ref="L146:L152" si="13">IF(F146="","",PRODUCT(F146:J146))</f>
        <v>3.94</v>
      </c>
      <c r="M146" s="111"/>
      <c r="N146" s="111"/>
      <c r="O146" s="111"/>
      <c r="P146" s="111"/>
    </row>
    <row r="147" spans="3:16" x14ac:dyDescent="0.3">
      <c r="C147" s="114"/>
      <c r="D147" s="258" t="s">
        <v>1016</v>
      </c>
      <c r="E147" s="234" t="s">
        <v>0</v>
      </c>
      <c r="F147" s="235">
        <v>1</v>
      </c>
      <c r="G147" s="236" t="s">
        <v>156</v>
      </c>
      <c r="H147" s="236">
        <v>6.76</v>
      </c>
      <c r="I147" s="236"/>
      <c r="J147" s="242">
        <v>1</v>
      </c>
      <c r="K147" s="237"/>
      <c r="L147" s="237">
        <f t="shared" si="13"/>
        <v>6.76</v>
      </c>
      <c r="M147" s="111"/>
      <c r="N147" s="111"/>
      <c r="O147" s="111"/>
      <c r="P147" s="111"/>
    </row>
    <row r="148" spans="3:16" x14ac:dyDescent="0.3">
      <c r="C148" s="114"/>
      <c r="D148" s="258"/>
      <c r="E148" s="234" t="s">
        <v>0</v>
      </c>
      <c r="F148" s="235">
        <v>1</v>
      </c>
      <c r="G148" s="236" t="s">
        <v>156</v>
      </c>
      <c r="H148" s="236">
        <v>6.66</v>
      </c>
      <c r="I148" s="236"/>
      <c r="J148" s="242">
        <v>1</v>
      </c>
      <c r="K148" s="237"/>
      <c r="L148" s="237">
        <f t="shared" si="13"/>
        <v>6.66</v>
      </c>
      <c r="M148" s="111"/>
      <c r="N148" s="111"/>
      <c r="O148" s="111"/>
      <c r="P148" s="111"/>
    </row>
    <row r="149" spans="3:16" x14ac:dyDescent="0.3">
      <c r="C149" s="114"/>
      <c r="D149" s="258" t="s">
        <v>1028</v>
      </c>
      <c r="E149" s="234" t="s">
        <v>0</v>
      </c>
      <c r="F149" s="235">
        <v>1</v>
      </c>
      <c r="G149" s="236" t="s">
        <v>156</v>
      </c>
      <c r="H149" s="236">
        <v>6.44</v>
      </c>
      <c r="I149" s="236"/>
      <c r="J149" s="242">
        <v>1</v>
      </c>
      <c r="K149" s="237"/>
      <c r="L149" s="237">
        <f t="shared" si="13"/>
        <v>6.44</v>
      </c>
      <c r="M149" s="111"/>
      <c r="N149" s="111"/>
      <c r="O149" s="111"/>
      <c r="P149" s="111"/>
    </row>
    <row r="150" spans="3:16" x14ac:dyDescent="0.3">
      <c r="C150" s="114"/>
      <c r="D150" s="258"/>
      <c r="E150" s="234" t="s">
        <v>0</v>
      </c>
      <c r="F150" s="235">
        <v>1</v>
      </c>
      <c r="G150" s="236" t="s">
        <v>156</v>
      </c>
      <c r="H150" s="236">
        <v>3.64</v>
      </c>
      <c r="I150" s="236"/>
      <c r="J150" s="242">
        <v>1</v>
      </c>
      <c r="K150" s="237"/>
      <c r="L150" s="237">
        <f t="shared" si="13"/>
        <v>3.64</v>
      </c>
      <c r="M150" s="111"/>
      <c r="N150" s="111"/>
      <c r="O150" s="111"/>
      <c r="P150" s="111"/>
    </row>
    <row r="151" spans="3:16" x14ac:dyDescent="0.3">
      <c r="C151" s="114"/>
      <c r="D151" s="258" t="s">
        <v>1089</v>
      </c>
      <c r="E151" s="234" t="s">
        <v>0</v>
      </c>
      <c r="F151" s="235">
        <v>1</v>
      </c>
      <c r="G151" s="236" t="s">
        <v>156</v>
      </c>
      <c r="H151" s="236">
        <v>4.13</v>
      </c>
      <c r="I151" s="236"/>
      <c r="J151" s="242">
        <v>1</v>
      </c>
      <c r="K151" s="237"/>
      <c r="L151" s="237">
        <f t="shared" si="13"/>
        <v>4.13</v>
      </c>
      <c r="M151" s="111"/>
      <c r="N151" s="111"/>
      <c r="O151" s="111"/>
      <c r="P151" s="111"/>
    </row>
    <row r="152" spans="3:16" x14ac:dyDescent="0.3">
      <c r="C152" s="114"/>
      <c r="D152" s="258"/>
      <c r="E152" s="234" t="s">
        <v>0</v>
      </c>
      <c r="F152" s="235">
        <v>1</v>
      </c>
      <c r="G152" s="236" t="s">
        <v>156</v>
      </c>
      <c r="H152" s="236">
        <v>3.32</v>
      </c>
      <c r="I152" s="236"/>
      <c r="J152" s="242">
        <v>1</v>
      </c>
      <c r="K152" s="237"/>
      <c r="L152" s="237">
        <f t="shared" si="13"/>
        <v>3.32</v>
      </c>
      <c r="M152" s="111"/>
      <c r="N152" s="111"/>
      <c r="O152" s="111"/>
      <c r="P152" s="111"/>
    </row>
    <row r="153" spans="3:16" x14ac:dyDescent="0.3">
      <c r="C153" s="106"/>
      <c r="D153" s="120" t="s">
        <v>68</v>
      </c>
      <c r="E153" s="121"/>
      <c r="F153" s="3"/>
      <c r="G153" s="122"/>
      <c r="H153" s="122"/>
      <c r="I153" s="122"/>
      <c r="J153" s="119"/>
      <c r="K153" s="113"/>
      <c r="L153" s="113"/>
      <c r="M153" s="113"/>
      <c r="N153" s="113"/>
      <c r="O153" s="113"/>
      <c r="P153" s="113"/>
    </row>
    <row r="154" spans="3:16" x14ac:dyDescent="0.3">
      <c r="C154" s="114"/>
      <c r="D154" s="258" t="s">
        <v>1090</v>
      </c>
      <c r="E154" s="234" t="s">
        <v>0</v>
      </c>
      <c r="F154" s="235">
        <v>1</v>
      </c>
      <c r="G154" s="236" t="s">
        <v>156</v>
      </c>
      <c r="H154" s="236">
        <v>3.94</v>
      </c>
      <c r="I154" s="236"/>
      <c r="J154" s="242">
        <v>1</v>
      </c>
      <c r="K154" s="237"/>
      <c r="L154" s="237">
        <f>IF(F154="","",PRODUCT(F154:J154))</f>
        <v>3.94</v>
      </c>
      <c r="M154" s="111"/>
      <c r="N154" s="111"/>
      <c r="O154" s="111"/>
      <c r="P154" s="111"/>
    </row>
    <row r="155" spans="3:16" x14ac:dyDescent="0.3">
      <c r="C155" s="114"/>
      <c r="D155" s="258" t="s">
        <v>1091</v>
      </c>
      <c r="E155" s="234" t="s">
        <v>0</v>
      </c>
      <c r="F155" s="235">
        <v>1</v>
      </c>
      <c r="G155" s="236" t="s">
        <v>156</v>
      </c>
      <c r="H155" s="236">
        <v>6.76</v>
      </c>
      <c r="I155" s="236"/>
      <c r="J155" s="242">
        <v>1</v>
      </c>
      <c r="K155" s="237"/>
      <c r="L155" s="237">
        <f t="shared" ref="L155:L165" si="14">IF(F155="","",PRODUCT(F155:J155))</f>
        <v>6.76</v>
      </c>
      <c r="M155" s="111"/>
      <c r="N155" s="111"/>
      <c r="O155" s="111"/>
      <c r="P155" s="111"/>
    </row>
    <row r="156" spans="3:16" x14ac:dyDescent="0.3">
      <c r="C156" s="114"/>
      <c r="D156" s="258"/>
      <c r="E156" s="234" t="s">
        <v>0</v>
      </c>
      <c r="F156" s="235">
        <v>1</v>
      </c>
      <c r="G156" s="236" t="s">
        <v>156</v>
      </c>
      <c r="H156" s="236">
        <v>6.66</v>
      </c>
      <c r="I156" s="236"/>
      <c r="J156" s="242">
        <v>1</v>
      </c>
      <c r="K156" s="237"/>
      <c r="L156" s="237">
        <f t="shared" si="14"/>
        <v>6.66</v>
      </c>
      <c r="M156" s="111"/>
      <c r="N156" s="111"/>
      <c r="O156" s="111"/>
      <c r="P156" s="111"/>
    </row>
    <row r="157" spans="3:16" x14ac:dyDescent="0.3">
      <c r="C157" s="114"/>
      <c r="D157" s="258"/>
      <c r="E157" s="234" t="s">
        <v>0</v>
      </c>
      <c r="F157" s="235">
        <v>1</v>
      </c>
      <c r="G157" s="236" t="s">
        <v>156</v>
      </c>
      <c r="H157" s="236">
        <v>6.44</v>
      </c>
      <c r="I157" s="236"/>
      <c r="J157" s="242">
        <v>1</v>
      </c>
      <c r="K157" s="237"/>
      <c r="L157" s="237">
        <f t="shared" si="14"/>
        <v>6.44</v>
      </c>
      <c r="M157" s="111"/>
      <c r="N157" s="111"/>
      <c r="O157" s="111"/>
      <c r="P157" s="111"/>
    </row>
    <row r="158" spans="3:16" x14ac:dyDescent="0.3">
      <c r="C158" s="114"/>
      <c r="D158" s="258"/>
      <c r="E158" s="234" t="s">
        <v>0</v>
      </c>
      <c r="F158" s="235">
        <v>1</v>
      </c>
      <c r="G158" s="236" t="s">
        <v>156</v>
      </c>
      <c r="H158" s="236">
        <v>3.64</v>
      </c>
      <c r="I158" s="236"/>
      <c r="J158" s="242">
        <v>1</v>
      </c>
      <c r="K158" s="237"/>
      <c r="L158" s="237">
        <f t="shared" si="14"/>
        <v>3.64</v>
      </c>
      <c r="M158" s="111"/>
      <c r="N158" s="111"/>
      <c r="O158" s="111"/>
      <c r="P158" s="111"/>
    </row>
    <row r="159" spans="3:16" x14ac:dyDescent="0.3">
      <c r="C159" s="114"/>
      <c r="D159" s="258"/>
      <c r="E159" s="234" t="s">
        <v>0</v>
      </c>
      <c r="F159" s="235">
        <v>1</v>
      </c>
      <c r="G159" s="236" t="s">
        <v>156</v>
      </c>
      <c r="H159" s="236">
        <v>7.63</v>
      </c>
      <c r="I159" s="236"/>
      <c r="J159" s="242">
        <v>1</v>
      </c>
      <c r="K159" s="237"/>
      <c r="L159" s="237">
        <f t="shared" si="14"/>
        <v>7.63</v>
      </c>
      <c r="M159" s="111"/>
      <c r="N159" s="111"/>
      <c r="O159" s="111"/>
      <c r="P159" s="111"/>
    </row>
    <row r="160" spans="3:16" x14ac:dyDescent="0.3">
      <c r="C160" s="114"/>
      <c r="D160" s="258" t="s">
        <v>1089</v>
      </c>
      <c r="E160" s="234" t="s">
        <v>0</v>
      </c>
      <c r="F160" s="235">
        <v>1</v>
      </c>
      <c r="G160" s="236" t="s">
        <v>156</v>
      </c>
      <c r="H160" s="236">
        <v>1.44</v>
      </c>
      <c r="I160" s="236"/>
      <c r="J160" s="242">
        <v>1</v>
      </c>
      <c r="K160" s="237"/>
      <c r="L160" s="237">
        <f t="shared" si="14"/>
        <v>1.44</v>
      </c>
      <c r="M160" s="111"/>
      <c r="N160" s="111"/>
      <c r="O160" s="111"/>
      <c r="P160" s="111"/>
    </row>
    <row r="161" spans="3:16" x14ac:dyDescent="0.3">
      <c r="C161" s="114"/>
      <c r="D161" s="258"/>
      <c r="E161" s="234" t="s">
        <v>0</v>
      </c>
      <c r="F161" s="235">
        <v>1</v>
      </c>
      <c r="G161" s="236" t="s">
        <v>156</v>
      </c>
      <c r="H161" s="236">
        <v>2.64</v>
      </c>
      <c r="I161" s="236"/>
      <c r="J161" s="242">
        <v>1</v>
      </c>
      <c r="K161" s="237"/>
      <c r="L161" s="237">
        <f t="shared" si="14"/>
        <v>2.64</v>
      </c>
      <c r="M161" s="111"/>
      <c r="N161" s="111"/>
      <c r="O161" s="111"/>
      <c r="P161" s="111"/>
    </row>
    <row r="162" spans="3:16" x14ac:dyDescent="0.3">
      <c r="C162" s="114"/>
      <c r="D162" s="258"/>
      <c r="E162" s="234" t="s">
        <v>0</v>
      </c>
      <c r="F162" s="235">
        <v>1</v>
      </c>
      <c r="G162" s="236" t="s">
        <v>156</v>
      </c>
      <c r="H162" s="236">
        <v>2.33</v>
      </c>
      <c r="I162" s="236"/>
      <c r="J162" s="242">
        <v>1</v>
      </c>
      <c r="K162" s="237"/>
      <c r="L162" s="237">
        <f t="shared" si="14"/>
        <v>2.33</v>
      </c>
      <c r="M162" s="111"/>
      <c r="N162" s="111"/>
      <c r="O162" s="111"/>
      <c r="P162" s="111"/>
    </row>
    <row r="163" spans="3:16" x14ac:dyDescent="0.3">
      <c r="C163" s="114"/>
      <c r="D163" s="258"/>
      <c r="E163" s="234" t="s">
        <v>0</v>
      </c>
      <c r="F163" s="235">
        <v>1</v>
      </c>
      <c r="G163" s="236" t="s">
        <v>156</v>
      </c>
      <c r="H163" s="236">
        <v>2.2999999999999998</v>
      </c>
      <c r="I163" s="236"/>
      <c r="J163" s="242">
        <v>1</v>
      </c>
      <c r="K163" s="237"/>
      <c r="L163" s="237">
        <f t="shared" si="14"/>
        <v>2.2999999999999998</v>
      </c>
      <c r="M163" s="111"/>
      <c r="N163" s="111"/>
      <c r="O163" s="111"/>
      <c r="P163" s="111"/>
    </row>
    <row r="164" spans="3:16" x14ac:dyDescent="0.3">
      <c r="C164" s="114"/>
      <c r="D164" s="258"/>
      <c r="E164" s="234" t="s">
        <v>0</v>
      </c>
      <c r="F164" s="235">
        <v>1</v>
      </c>
      <c r="G164" s="236" t="s">
        <v>156</v>
      </c>
      <c r="H164" s="236">
        <v>1.1599999999999999</v>
      </c>
      <c r="I164" s="236"/>
      <c r="J164" s="242">
        <v>1</v>
      </c>
      <c r="K164" s="237"/>
      <c r="L164" s="237">
        <f t="shared" si="14"/>
        <v>1.1599999999999999</v>
      </c>
      <c r="M164" s="111"/>
      <c r="N164" s="111"/>
      <c r="O164" s="111"/>
      <c r="P164" s="111"/>
    </row>
    <row r="165" spans="3:16" x14ac:dyDescent="0.3">
      <c r="C165" s="114"/>
      <c r="D165" s="258"/>
      <c r="E165" s="234" t="s">
        <v>0</v>
      </c>
      <c r="F165" s="235">
        <v>1</v>
      </c>
      <c r="G165" s="236" t="s">
        <v>156</v>
      </c>
      <c r="H165" s="236">
        <v>2.17</v>
      </c>
      <c r="I165" s="236"/>
      <c r="J165" s="242">
        <v>1</v>
      </c>
      <c r="K165" s="237"/>
      <c r="L165" s="237">
        <f t="shared" si="14"/>
        <v>2.17</v>
      </c>
      <c r="M165" s="111"/>
      <c r="N165" s="111"/>
      <c r="O165" s="111"/>
      <c r="P165" s="111"/>
    </row>
    <row r="166" spans="3:16" x14ac:dyDescent="0.3">
      <c r="C166" s="114"/>
      <c r="D166" s="117"/>
      <c r="E166" s="116"/>
      <c r="F166" s="109"/>
      <c r="G166" s="110"/>
      <c r="H166" s="110"/>
      <c r="I166" s="110"/>
      <c r="J166" s="112"/>
      <c r="K166" s="111"/>
      <c r="L166" s="111"/>
      <c r="M166" s="111"/>
      <c r="N166" s="111"/>
      <c r="O166" s="111"/>
      <c r="P166" s="111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3A44-995F-4D69-B28A-8D6EC466DB8B}">
  <dimension ref="A1:N32"/>
  <sheetViews>
    <sheetView view="pageBreakPreview" zoomScaleNormal="100" zoomScaleSheetLayoutView="100" workbookViewId="0">
      <selection activeCell="B30" sqref="B30"/>
    </sheetView>
  </sheetViews>
  <sheetFormatPr baseColWidth="10" defaultRowHeight="14.4" x14ac:dyDescent="0.3"/>
  <cols>
    <col min="2" max="2" width="50.44140625" customWidth="1"/>
  </cols>
  <sheetData>
    <row r="1" spans="1:14" x14ac:dyDescent="0.3">
      <c r="A1" s="8"/>
      <c r="B1" s="9"/>
      <c r="C1" s="10"/>
      <c r="D1" s="10"/>
      <c r="E1" s="11"/>
      <c r="F1" s="11"/>
      <c r="G1" s="11"/>
      <c r="H1" s="12"/>
      <c r="I1" s="13"/>
      <c r="J1" s="13"/>
      <c r="K1" s="11"/>
      <c r="L1" s="11"/>
      <c r="M1" s="8"/>
      <c r="N1" s="14"/>
    </row>
    <row r="2" spans="1:14" ht="15" thickBot="1" x14ac:dyDescent="0.35">
      <c r="A2" s="17"/>
      <c r="B2" s="18"/>
      <c r="C2" s="19"/>
      <c r="D2" s="19"/>
      <c r="E2" s="20"/>
      <c r="F2" s="20"/>
      <c r="G2" s="20"/>
      <c r="H2" s="21"/>
      <c r="I2" s="22"/>
      <c r="J2" s="22"/>
      <c r="K2" s="20"/>
      <c r="L2" s="20"/>
      <c r="M2" s="17"/>
      <c r="N2" s="23"/>
    </row>
    <row r="3" spans="1:14" ht="18" thickBot="1" x14ac:dyDescent="0.35">
      <c r="A3" s="417" t="s">
        <v>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9"/>
    </row>
    <row r="4" spans="1:14" ht="15" thickBot="1" x14ac:dyDescent="0.35">
      <c r="A4" s="23"/>
      <c r="B4" s="26"/>
      <c r="C4" s="19"/>
      <c r="D4" s="19"/>
      <c r="E4" s="27"/>
      <c r="F4" s="27"/>
      <c r="G4" s="27"/>
      <c r="H4" s="19"/>
      <c r="I4" s="28"/>
      <c r="J4" s="28"/>
      <c r="K4" s="27"/>
      <c r="L4" s="27"/>
      <c r="M4" s="19"/>
      <c r="N4" s="29"/>
    </row>
    <row r="5" spans="1:14" x14ac:dyDescent="0.3">
      <c r="A5" s="30"/>
      <c r="B5" s="31"/>
      <c r="C5" s="32"/>
      <c r="D5" s="32"/>
      <c r="E5" s="33"/>
      <c r="F5" s="33"/>
      <c r="G5" s="33"/>
      <c r="H5" s="34"/>
      <c r="I5" s="35"/>
      <c r="J5" s="35"/>
      <c r="K5" s="33"/>
      <c r="L5" s="33"/>
      <c r="M5" s="36"/>
      <c r="N5" s="37"/>
    </row>
    <row r="6" spans="1:14" x14ac:dyDescent="0.3">
      <c r="A6" s="38" t="s">
        <v>2</v>
      </c>
      <c r="B6" s="420" t="s">
        <v>3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1"/>
    </row>
    <row r="7" spans="1:14" x14ac:dyDescent="0.3">
      <c r="A7" s="38"/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1"/>
    </row>
    <row r="8" spans="1:14" x14ac:dyDescent="0.3">
      <c r="A8" s="38" t="s">
        <v>4</v>
      </c>
      <c r="B8" s="39" t="s">
        <v>5</v>
      </c>
      <c r="C8" s="40"/>
      <c r="D8" s="40"/>
      <c r="E8" s="41"/>
      <c r="F8" s="41"/>
      <c r="G8" s="42"/>
      <c r="H8" s="40"/>
      <c r="I8" s="43"/>
      <c r="J8" s="41" t="s">
        <v>6</v>
      </c>
      <c r="K8" s="44" t="s">
        <v>7</v>
      </c>
      <c r="L8" s="42"/>
      <c r="M8" s="39"/>
      <c r="N8" s="45"/>
    </row>
    <row r="9" spans="1:14" x14ac:dyDescent="0.3">
      <c r="A9" s="38" t="s">
        <v>8</v>
      </c>
      <c r="B9" s="46">
        <v>44308</v>
      </c>
      <c r="C9" s="47"/>
      <c r="D9" s="47"/>
      <c r="E9" s="41"/>
      <c r="F9" s="41"/>
      <c r="G9" s="48"/>
      <c r="H9" s="49"/>
      <c r="I9" s="48"/>
      <c r="J9" s="41" t="s">
        <v>9</v>
      </c>
      <c r="K9" s="44"/>
      <c r="L9" s="50"/>
      <c r="M9" s="51"/>
      <c r="N9" s="45"/>
    </row>
    <row r="10" spans="1:14" x14ac:dyDescent="0.3">
      <c r="A10" s="38" t="s">
        <v>10</v>
      </c>
      <c r="B10" s="52" t="s">
        <v>11</v>
      </c>
      <c r="C10" s="40"/>
      <c r="D10" s="40"/>
      <c r="E10" s="43"/>
      <c r="F10" s="43"/>
      <c r="G10" s="43"/>
      <c r="H10" s="40"/>
      <c r="I10" s="43"/>
      <c r="J10" s="50"/>
      <c r="K10" s="50"/>
      <c r="L10" s="50"/>
      <c r="M10" s="51"/>
      <c r="N10" s="45"/>
    </row>
    <row r="11" spans="1:14" x14ac:dyDescent="0.3">
      <c r="A11" s="38" t="s">
        <v>12</v>
      </c>
      <c r="B11" s="39" t="s">
        <v>1116</v>
      </c>
      <c r="C11" s="40"/>
      <c r="D11" s="40"/>
      <c r="E11" s="43"/>
      <c r="F11" s="43"/>
      <c r="G11" s="43"/>
      <c r="H11" s="40"/>
      <c r="I11" s="43"/>
      <c r="J11" s="50"/>
      <c r="K11" s="50"/>
      <c r="L11" s="53"/>
      <c r="M11" s="47"/>
      <c r="N11" s="45"/>
    </row>
    <row r="12" spans="1:14" ht="15" thickBot="1" x14ac:dyDescent="0.35">
      <c r="A12" s="54"/>
      <c r="B12" s="55"/>
      <c r="C12" s="56"/>
      <c r="D12" s="56"/>
      <c r="E12" s="57"/>
      <c r="F12" s="58"/>
      <c r="G12" s="59"/>
      <c r="H12" s="60"/>
      <c r="I12" s="61"/>
      <c r="J12" s="61"/>
      <c r="K12" s="59"/>
      <c r="L12" s="59"/>
      <c r="M12" s="62"/>
      <c r="N12" s="63"/>
    </row>
    <row r="13" spans="1:14" ht="15" thickBot="1" x14ac:dyDescent="0.35">
      <c r="A13" s="23"/>
      <c r="B13" s="26"/>
      <c r="C13" s="19"/>
      <c r="D13" s="19"/>
      <c r="E13" s="20"/>
      <c r="F13" s="20"/>
      <c r="G13" s="20"/>
      <c r="H13" s="18"/>
      <c r="I13" s="64"/>
      <c r="J13" s="64"/>
      <c r="K13" s="20"/>
      <c r="L13" s="20"/>
      <c r="M13" s="17"/>
      <c r="N13" s="29"/>
    </row>
    <row r="14" spans="1:14" x14ac:dyDescent="0.3">
      <c r="A14" s="422" t="s">
        <v>13</v>
      </c>
      <c r="B14" s="424" t="s">
        <v>1133</v>
      </c>
      <c r="C14" s="426" t="s">
        <v>15</v>
      </c>
      <c r="D14" s="428" t="s">
        <v>16</v>
      </c>
      <c r="E14" s="430" t="s">
        <v>17</v>
      </c>
      <c r="F14" s="430"/>
      <c r="G14" s="430"/>
      <c r="H14" s="428" t="s">
        <v>18</v>
      </c>
      <c r="I14" s="424" t="s">
        <v>19</v>
      </c>
      <c r="J14" s="424"/>
      <c r="K14" s="424"/>
      <c r="L14" s="424"/>
      <c r="M14" s="424"/>
      <c r="N14" s="431" t="s">
        <v>20</v>
      </c>
    </row>
    <row r="15" spans="1:14" ht="15" thickBot="1" x14ac:dyDescent="0.35">
      <c r="A15" s="423"/>
      <c r="B15" s="425"/>
      <c r="C15" s="427"/>
      <c r="D15" s="429"/>
      <c r="E15" s="66" t="s">
        <v>22</v>
      </c>
      <c r="F15" s="66" t="s">
        <v>23</v>
      </c>
      <c r="G15" s="66" t="s">
        <v>24</v>
      </c>
      <c r="H15" s="429"/>
      <c r="I15" s="66" t="s">
        <v>25</v>
      </c>
      <c r="J15" s="66" t="s">
        <v>26</v>
      </c>
      <c r="K15" s="66" t="s">
        <v>27</v>
      </c>
      <c r="L15" s="66" t="s">
        <v>28</v>
      </c>
      <c r="M15" s="384" t="s">
        <v>29</v>
      </c>
      <c r="N15" s="432"/>
    </row>
    <row r="16" spans="1:14" x14ac:dyDescent="0.3">
      <c r="A16" s="68"/>
      <c r="B16" s="69"/>
      <c r="C16" s="70"/>
      <c r="D16" s="70"/>
      <c r="E16" s="71"/>
      <c r="F16" s="71"/>
      <c r="G16" s="71"/>
      <c r="H16" s="72"/>
      <c r="I16" s="73"/>
      <c r="J16" s="73"/>
      <c r="K16" s="71"/>
      <c r="L16" s="71"/>
      <c r="M16" s="72"/>
      <c r="N16" s="74"/>
    </row>
    <row r="17" spans="1:14" ht="26.4" x14ac:dyDescent="0.3">
      <c r="A17" s="77"/>
      <c r="B17" s="386" t="s">
        <v>1116</v>
      </c>
      <c r="C17" s="387"/>
      <c r="D17" s="80"/>
      <c r="E17" s="81"/>
      <c r="F17" s="81"/>
      <c r="G17" s="81"/>
      <c r="H17" s="388"/>
      <c r="I17" s="82"/>
      <c r="J17" s="82"/>
      <c r="K17" s="82"/>
      <c r="L17" s="82"/>
      <c r="M17" s="82"/>
      <c r="N17" s="82"/>
    </row>
    <row r="18" spans="1:14" x14ac:dyDescent="0.3">
      <c r="A18" s="86" t="s">
        <v>1186</v>
      </c>
      <c r="B18" s="87" t="s">
        <v>11</v>
      </c>
      <c r="C18" s="101"/>
      <c r="D18" s="1"/>
      <c r="E18" s="2"/>
      <c r="F18" s="2"/>
      <c r="G18" s="2"/>
      <c r="H18" s="389"/>
      <c r="I18" s="89"/>
      <c r="J18" s="89"/>
      <c r="K18" s="89"/>
      <c r="L18" s="89"/>
      <c r="M18" s="89"/>
      <c r="N18" s="89"/>
    </row>
    <row r="19" spans="1:14" x14ac:dyDescent="0.3">
      <c r="A19" s="114"/>
      <c r="B19" s="390"/>
      <c r="C19" s="116"/>
      <c r="D19" s="109"/>
      <c r="E19" s="391"/>
      <c r="F19" s="110"/>
      <c r="G19" s="305"/>
      <c r="H19" s="112"/>
      <c r="I19" s="111"/>
      <c r="J19" s="392"/>
      <c r="K19" s="111"/>
      <c r="L19" s="111"/>
      <c r="M19" s="111"/>
      <c r="N19" s="111"/>
    </row>
    <row r="20" spans="1:14" x14ac:dyDescent="0.3">
      <c r="A20" s="93" t="s">
        <v>1179</v>
      </c>
      <c r="B20" s="94" t="s">
        <v>89</v>
      </c>
      <c r="C20" s="101"/>
      <c r="D20" s="1"/>
      <c r="E20" s="2"/>
      <c r="F20" s="2"/>
      <c r="G20" s="2"/>
      <c r="H20" s="393"/>
      <c r="I20" s="96"/>
      <c r="J20" s="96"/>
      <c r="K20" s="96"/>
      <c r="L20" s="96"/>
      <c r="M20" s="96"/>
      <c r="N20" s="96"/>
    </row>
    <row r="21" spans="1:14" ht="30.6" x14ac:dyDescent="0.3">
      <c r="A21" s="99" t="s">
        <v>1180</v>
      </c>
      <c r="B21" s="100" t="s">
        <v>522</v>
      </c>
      <c r="C21" s="101" t="s">
        <v>0</v>
      </c>
      <c r="D21" s="1"/>
      <c r="E21" s="2"/>
      <c r="F21" s="2"/>
      <c r="G21" s="2"/>
      <c r="H21" s="102"/>
      <c r="I21" s="103"/>
      <c r="J21" s="103"/>
      <c r="K21" s="103"/>
      <c r="L21" s="103"/>
      <c r="M21" s="103"/>
      <c r="N21" s="103">
        <f>SUM(J22:J28)</f>
        <v>205.53600000000003</v>
      </c>
    </row>
    <row r="22" spans="1:14" x14ac:dyDescent="0.3">
      <c r="A22" s="106"/>
      <c r="B22" s="120" t="s">
        <v>123</v>
      </c>
      <c r="C22" s="303"/>
      <c r="D22" s="304"/>
      <c r="E22" s="305"/>
      <c r="F22" s="306"/>
      <c r="G22" s="305"/>
      <c r="H22" s="304"/>
      <c r="I22" s="307"/>
      <c r="J22" s="307"/>
      <c r="K22" s="113"/>
      <c r="L22" s="113"/>
      <c r="M22" s="113"/>
      <c r="N22" s="113"/>
    </row>
    <row r="23" spans="1:14" x14ac:dyDescent="0.3">
      <c r="A23" s="308"/>
      <c r="B23" s="137" t="s">
        <v>865</v>
      </c>
      <c r="C23" s="309"/>
      <c r="D23" s="310"/>
      <c r="E23" s="311"/>
      <c r="F23" s="311"/>
      <c r="G23" s="311"/>
      <c r="H23" s="312"/>
      <c r="I23" s="313"/>
      <c r="J23" s="313"/>
      <c r="K23" s="313"/>
      <c r="L23" s="313"/>
      <c r="M23" s="313"/>
      <c r="N23" s="313"/>
    </row>
    <row r="24" spans="1:14" ht="30.6" x14ac:dyDescent="0.3">
      <c r="A24" s="114"/>
      <c r="B24" s="394" t="s">
        <v>1134</v>
      </c>
      <c r="C24" s="395" t="s">
        <v>0</v>
      </c>
      <c r="D24" s="396">
        <v>1</v>
      </c>
      <c r="E24" s="397">
        <v>70.06</v>
      </c>
      <c r="F24" s="397"/>
      <c r="G24" s="397">
        <v>2.9</v>
      </c>
      <c r="H24" s="398">
        <v>1</v>
      </c>
      <c r="I24" s="399"/>
      <c r="J24" s="399">
        <f t="shared" ref="J24:J27" si="0">PRODUCT(D24:H24)</f>
        <v>203.17400000000001</v>
      </c>
      <c r="K24" s="111"/>
      <c r="L24" s="111"/>
      <c r="M24" s="111"/>
      <c r="N24" s="111"/>
    </row>
    <row r="25" spans="1:14" x14ac:dyDescent="0.3">
      <c r="A25" s="114"/>
      <c r="B25" s="394"/>
      <c r="C25" s="395" t="s">
        <v>0</v>
      </c>
      <c r="D25" s="396">
        <v>1</v>
      </c>
      <c r="E25" s="397">
        <v>2</v>
      </c>
      <c r="F25" s="397"/>
      <c r="G25" s="397">
        <v>2.9</v>
      </c>
      <c r="H25" s="398">
        <v>1</v>
      </c>
      <c r="I25" s="399"/>
      <c r="J25" s="399">
        <f t="shared" si="0"/>
        <v>5.8</v>
      </c>
      <c r="K25" s="111"/>
      <c r="L25" s="111"/>
      <c r="M25" s="111"/>
      <c r="N25" s="111"/>
    </row>
    <row r="26" spans="1:14" x14ac:dyDescent="0.3">
      <c r="A26" s="114"/>
      <c r="B26" s="394" t="s">
        <v>266</v>
      </c>
      <c r="C26" s="395" t="s">
        <v>0</v>
      </c>
      <c r="D26" s="396">
        <v>-1</v>
      </c>
      <c r="E26" s="397">
        <v>1.89</v>
      </c>
      <c r="F26" s="397"/>
      <c r="G26" s="397">
        <v>0.45</v>
      </c>
      <c r="H26" s="398">
        <v>2</v>
      </c>
      <c r="I26" s="399"/>
      <c r="J26" s="399">
        <f t="shared" si="0"/>
        <v>-1.7009999999999998</v>
      </c>
      <c r="K26" s="111"/>
      <c r="L26" s="111"/>
      <c r="M26" s="111"/>
      <c r="N26" s="111"/>
    </row>
    <row r="27" spans="1:14" x14ac:dyDescent="0.3">
      <c r="A27" s="114"/>
      <c r="B27" s="394"/>
      <c r="C27" s="395" t="s">
        <v>0</v>
      </c>
      <c r="D27" s="396">
        <v>-1</v>
      </c>
      <c r="E27" s="397">
        <v>1.93</v>
      </c>
      <c r="F27" s="397"/>
      <c r="G27" s="397">
        <v>0.45</v>
      </c>
      <c r="H27" s="398">
        <v>2</v>
      </c>
      <c r="I27" s="399"/>
      <c r="J27" s="399">
        <f t="shared" si="0"/>
        <v>-1.7369999999999999</v>
      </c>
      <c r="K27" s="111"/>
      <c r="L27" s="111"/>
      <c r="M27" s="111"/>
      <c r="N27" s="111"/>
    </row>
    <row r="28" spans="1:14" x14ac:dyDescent="0.3">
      <c r="A28" s="106"/>
      <c r="B28" s="115"/>
      <c r="C28" s="121"/>
      <c r="D28" s="3"/>
      <c r="E28" s="122"/>
      <c r="F28" s="122"/>
      <c r="G28" s="122"/>
      <c r="H28" s="3"/>
      <c r="I28" s="113"/>
      <c r="J28" s="113"/>
      <c r="K28" s="113"/>
      <c r="L28" s="113"/>
      <c r="M28" s="113"/>
      <c r="N28" s="113"/>
    </row>
    <row r="29" spans="1:14" x14ac:dyDescent="0.3">
      <c r="A29" s="99" t="s">
        <v>1182</v>
      </c>
      <c r="B29" s="100" t="s">
        <v>520</v>
      </c>
      <c r="C29" s="101" t="s">
        <v>0</v>
      </c>
      <c r="D29" s="1"/>
      <c r="E29" s="2"/>
      <c r="F29" s="2"/>
      <c r="G29" s="2"/>
      <c r="H29" s="102"/>
      <c r="I29" s="103"/>
      <c r="J29" s="103"/>
      <c r="K29" s="103"/>
      <c r="L29" s="103"/>
      <c r="M29" s="103"/>
      <c r="N29" s="103">
        <f>SUM(J29:J32)</f>
        <v>22.271999999999998</v>
      </c>
    </row>
    <row r="30" spans="1:14" x14ac:dyDescent="0.3">
      <c r="A30" s="106"/>
      <c r="B30" s="120" t="s">
        <v>123</v>
      </c>
      <c r="C30" s="121"/>
      <c r="D30" s="3"/>
      <c r="E30" s="122"/>
      <c r="F30" s="122"/>
      <c r="G30" s="122"/>
      <c r="H30" s="119"/>
      <c r="I30" s="113"/>
      <c r="J30" s="113"/>
      <c r="K30" s="113"/>
      <c r="L30" s="113"/>
      <c r="M30" s="113"/>
      <c r="N30" s="113"/>
    </row>
    <row r="31" spans="1:14" x14ac:dyDescent="0.3">
      <c r="A31" s="106"/>
      <c r="B31" s="4" t="s">
        <v>1135</v>
      </c>
      <c r="C31" s="124" t="s">
        <v>0</v>
      </c>
      <c r="D31" s="5">
        <v>4</v>
      </c>
      <c r="E31" s="6">
        <v>1.92</v>
      </c>
      <c r="F31" s="6"/>
      <c r="G31" s="6">
        <v>2.9</v>
      </c>
      <c r="H31" s="125"/>
      <c r="I31" s="7"/>
      <c r="J31" s="7">
        <f>IF(D31="","",PRODUCT(D31:H31))</f>
        <v>22.271999999999998</v>
      </c>
      <c r="K31" s="113"/>
      <c r="L31" s="113"/>
      <c r="M31" s="113"/>
      <c r="N31" s="113"/>
    </row>
    <row r="32" spans="1:14" x14ac:dyDescent="0.3">
      <c r="A32" s="400"/>
      <c r="B32" s="401"/>
      <c r="C32" s="402"/>
      <c r="D32" s="403"/>
      <c r="E32" s="404"/>
      <c r="F32" s="404"/>
      <c r="G32" s="404"/>
      <c r="H32" s="403"/>
      <c r="I32" s="405"/>
      <c r="J32" s="405"/>
      <c r="K32" s="405"/>
      <c r="L32" s="405"/>
      <c r="M32" s="405"/>
      <c r="N32" s="405"/>
    </row>
  </sheetData>
  <mergeCells count="10">
    <mergeCell ref="A3:N3"/>
    <mergeCell ref="B6:N7"/>
    <mergeCell ref="A14:A15"/>
    <mergeCell ref="B14:B15"/>
    <mergeCell ref="C14:C15"/>
    <mergeCell ref="D14:D15"/>
    <mergeCell ref="E14:G14"/>
    <mergeCell ref="H14:H15"/>
    <mergeCell ref="I14:M14"/>
    <mergeCell ref="N14:N15"/>
  </mergeCells>
  <pageMargins left="0.70866141732283472" right="0.70866141732283472" top="0.74803149606299213" bottom="0.74803149606299213" header="0.31496062992125984" footer="0.31496062992125984"/>
  <pageSetup paperSize="9" scale="43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03A7-0A28-4E2D-8C9F-CF48F0DDD035}">
  <dimension ref="A1:N146"/>
  <sheetViews>
    <sheetView view="pageBreakPreview" zoomScale="85" zoomScaleNormal="100" zoomScaleSheetLayoutView="85" workbookViewId="0">
      <pane ySplit="15" topLeftCell="A52" activePane="bottomLeft" state="frozen"/>
      <selection pane="bottomLeft" activeCell="B26" sqref="B26"/>
    </sheetView>
  </sheetViews>
  <sheetFormatPr baseColWidth="10" defaultRowHeight="14.4" x14ac:dyDescent="0.3"/>
  <cols>
    <col min="2" max="2" width="53.44140625" customWidth="1"/>
  </cols>
  <sheetData>
    <row r="1" spans="1:14" x14ac:dyDescent="0.3">
      <c r="A1" s="8"/>
      <c r="B1" s="9"/>
      <c r="C1" s="10"/>
      <c r="D1" s="10"/>
      <c r="E1" s="11"/>
      <c r="F1" s="11"/>
      <c r="G1" s="11"/>
      <c r="H1" s="12"/>
      <c r="I1" s="13"/>
      <c r="J1" s="13"/>
      <c r="K1" s="11"/>
      <c r="L1" s="11"/>
      <c r="M1" s="8"/>
      <c r="N1" s="14"/>
    </row>
    <row r="2" spans="1:14" ht="15" thickBot="1" x14ac:dyDescent="0.35">
      <c r="A2" s="17"/>
      <c r="B2" s="18"/>
      <c r="C2" s="19"/>
      <c r="D2" s="19"/>
      <c r="E2" s="20"/>
      <c r="F2" s="20"/>
      <c r="G2" s="20"/>
      <c r="H2" s="21"/>
      <c r="I2" s="22"/>
      <c r="J2" s="22"/>
      <c r="K2" s="20"/>
      <c r="L2" s="20"/>
      <c r="M2" s="17"/>
      <c r="N2" s="23"/>
    </row>
    <row r="3" spans="1:14" ht="18" thickBot="1" x14ac:dyDescent="0.35">
      <c r="A3" s="417" t="s">
        <v>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9"/>
    </row>
    <row r="4" spans="1:14" ht="15" thickBot="1" x14ac:dyDescent="0.35">
      <c r="A4" s="23"/>
      <c r="B4" s="26"/>
      <c r="C4" s="19"/>
      <c r="D4" s="19"/>
      <c r="E4" s="27"/>
      <c r="F4" s="27"/>
      <c r="G4" s="27"/>
      <c r="H4" s="19"/>
      <c r="I4" s="28"/>
      <c r="J4" s="28"/>
      <c r="K4" s="27"/>
      <c r="L4" s="27"/>
      <c r="M4" s="19"/>
      <c r="N4" s="29"/>
    </row>
    <row r="5" spans="1:14" x14ac:dyDescent="0.3">
      <c r="A5" s="30"/>
      <c r="B5" s="31"/>
      <c r="C5" s="32"/>
      <c r="D5" s="32"/>
      <c r="E5" s="33"/>
      <c r="F5" s="33"/>
      <c r="G5" s="33"/>
      <c r="H5" s="34"/>
      <c r="I5" s="35"/>
      <c r="J5" s="35"/>
      <c r="K5" s="33"/>
      <c r="L5" s="33"/>
      <c r="M5" s="36"/>
      <c r="N5" s="37"/>
    </row>
    <row r="6" spans="1:14" x14ac:dyDescent="0.3">
      <c r="A6" s="38" t="s">
        <v>2</v>
      </c>
      <c r="B6" s="420" t="s">
        <v>3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1"/>
    </row>
    <row r="7" spans="1:14" x14ac:dyDescent="0.3">
      <c r="A7" s="38"/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1"/>
    </row>
    <row r="8" spans="1:14" x14ac:dyDescent="0.3">
      <c r="A8" s="38" t="s">
        <v>4</v>
      </c>
      <c r="B8" s="39" t="s">
        <v>5</v>
      </c>
      <c r="C8" s="40"/>
      <c r="D8" s="40"/>
      <c r="E8" s="41"/>
      <c r="F8" s="41"/>
      <c r="G8" s="42"/>
      <c r="H8" s="40"/>
      <c r="I8" s="43"/>
      <c r="J8" s="41" t="s">
        <v>6</v>
      </c>
      <c r="K8" s="44" t="s">
        <v>7</v>
      </c>
      <c r="L8" s="42"/>
      <c r="M8" s="39"/>
      <c r="N8" s="45"/>
    </row>
    <row r="9" spans="1:14" x14ac:dyDescent="0.3">
      <c r="A9" s="38" t="s">
        <v>8</v>
      </c>
      <c r="B9" s="46">
        <v>44608</v>
      </c>
      <c r="C9" s="47"/>
      <c r="D9" s="47"/>
      <c r="E9" s="41"/>
      <c r="F9" s="41"/>
      <c r="G9" s="48"/>
      <c r="H9" s="49"/>
      <c r="I9" s="48"/>
      <c r="J9" s="41" t="s">
        <v>9</v>
      </c>
      <c r="K9" s="44"/>
      <c r="L9" s="50"/>
      <c r="M9" s="51"/>
      <c r="N9" s="45"/>
    </row>
    <row r="10" spans="1:14" x14ac:dyDescent="0.3">
      <c r="A10" s="38" t="s">
        <v>10</v>
      </c>
      <c r="B10" s="52" t="s">
        <v>11</v>
      </c>
      <c r="C10" s="40"/>
      <c r="D10" s="40"/>
      <c r="E10" s="43"/>
      <c r="F10" s="43"/>
      <c r="G10" s="43"/>
      <c r="H10" s="40"/>
      <c r="I10" s="43"/>
      <c r="J10" s="50"/>
      <c r="K10" s="50"/>
      <c r="L10" s="50"/>
      <c r="M10" s="51"/>
      <c r="N10" s="45"/>
    </row>
    <row r="11" spans="1:14" x14ac:dyDescent="0.3">
      <c r="A11" s="38" t="s">
        <v>12</v>
      </c>
      <c r="B11" s="39" t="s">
        <v>1136</v>
      </c>
      <c r="C11" s="40"/>
      <c r="D11" s="40"/>
      <c r="E11" s="43"/>
      <c r="F11" s="43"/>
      <c r="G11" s="43"/>
      <c r="H11" s="40"/>
      <c r="I11" s="43"/>
      <c r="J11" s="50"/>
      <c r="K11" s="50"/>
      <c r="L11" s="53"/>
      <c r="M11" s="47"/>
      <c r="N11" s="45"/>
    </row>
    <row r="12" spans="1:14" ht="15" thickBot="1" x14ac:dyDescent="0.35">
      <c r="A12" s="54"/>
      <c r="B12" s="55"/>
      <c r="C12" s="56"/>
      <c r="D12" s="56"/>
      <c r="E12" s="57"/>
      <c r="F12" s="58"/>
      <c r="G12" s="59"/>
      <c r="H12" s="60"/>
      <c r="I12" s="61"/>
      <c r="J12" s="61"/>
      <c r="K12" s="59"/>
      <c r="L12" s="59"/>
      <c r="M12" s="62"/>
      <c r="N12" s="63"/>
    </row>
    <row r="13" spans="1:14" ht="15" thickBot="1" x14ac:dyDescent="0.35">
      <c r="A13" s="23"/>
      <c r="B13" s="26"/>
      <c r="C13" s="19"/>
      <c r="D13" s="19"/>
      <c r="E13" s="20"/>
      <c r="F13" s="20"/>
      <c r="G13" s="20"/>
      <c r="H13" s="18"/>
      <c r="I13" s="64"/>
      <c r="J13" s="64"/>
      <c r="K13" s="20"/>
      <c r="L13" s="20"/>
      <c r="M13" s="17"/>
      <c r="N13" s="29"/>
    </row>
    <row r="14" spans="1:14" x14ac:dyDescent="0.3">
      <c r="A14" s="422" t="s">
        <v>13</v>
      </c>
      <c r="B14" s="424" t="s">
        <v>1133</v>
      </c>
      <c r="C14" s="426" t="s">
        <v>15</v>
      </c>
      <c r="D14" s="428" t="s">
        <v>16</v>
      </c>
      <c r="E14" s="430" t="s">
        <v>17</v>
      </c>
      <c r="F14" s="430"/>
      <c r="G14" s="430"/>
      <c r="H14" s="428" t="s">
        <v>18</v>
      </c>
      <c r="I14" s="424" t="s">
        <v>19</v>
      </c>
      <c r="J14" s="424"/>
      <c r="K14" s="424"/>
      <c r="L14" s="424"/>
      <c r="M14" s="424"/>
      <c r="N14" s="431" t="s">
        <v>20</v>
      </c>
    </row>
    <row r="15" spans="1:14" ht="15" thickBot="1" x14ac:dyDescent="0.35">
      <c r="A15" s="423"/>
      <c r="B15" s="425"/>
      <c r="C15" s="427"/>
      <c r="D15" s="429"/>
      <c r="E15" s="66" t="s">
        <v>22</v>
      </c>
      <c r="F15" s="66" t="s">
        <v>23</v>
      </c>
      <c r="G15" s="66" t="s">
        <v>24</v>
      </c>
      <c r="H15" s="429"/>
      <c r="I15" s="66" t="s">
        <v>25</v>
      </c>
      <c r="J15" s="66" t="s">
        <v>26</v>
      </c>
      <c r="K15" s="66" t="s">
        <v>27</v>
      </c>
      <c r="L15" s="66" t="s">
        <v>28</v>
      </c>
      <c r="M15" s="384" t="s">
        <v>29</v>
      </c>
      <c r="N15" s="432"/>
    </row>
    <row r="16" spans="1:14" x14ac:dyDescent="0.3">
      <c r="A16" s="68"/>
      <c r="B16" s="69"/>
      <c r="C16" s="70"/>
      <c r="D16" s="70"/>
      <c r="E16" s="71"/>
      <c r="F16" s="71"/>
      <c r="G16" s="71"/>
      <c r="H16" s="72"/>
      <c r="I16" s="73"/>
      <c r="J16" s="73"/>
      <c r="K16" s="71"/>
      <c r="L16" s="71"/>
      <c r="M16" s="72"/>
      <c r="N16" s="74"/>
    </row>
    <row r="17" spans="1:14" x14ac:dyDescent="0.3">
      <c r="A17" s="77"/>
      <c r="B17" s="386" t="s">
        <v>1136</v>
      </c>
      <c r="C17" s="387"/>
      <c r="D17" s="80"/>
      <c r="E17" s="81"/>
      <c r="F17" s="81"/>
      <c r="G17" s="81"/>
      <c r="H17" s="388"/>
      <c r="I17" s="82"/>
      <c r="J17" s="82"/>
      <c r="K17" s="82"/>
      <c r="L17" s="82"/>
      <c r="M17" s="82"/>
      <c r="N17" s="82"/>
    </row>
    <row r="18" spans="1:14" x14ac:dyDescent="0.3">
      <c r="A18" s="155" t="s">
        <v>1186</v>
      </c>
      <c r="B18" s="87" t="s">
        <v>11</v>
      </c>
      <c r="C18" s="101"/>
      <c r="D18" s="1"/>
      <c r="E18" s="2"/>
      <c r="F18" s="2"/>
      <c r="G18" s="2"/>
      <c r="H18" s="389"/>
      <c r="I18" s="89"/>
      <c r="J18" s="89"/>
      <c r="K18" s="89"/>
      <c r="L18" s="89"/>
      <c r="M18" s="89"/>
      <c r="N18" s="89"/>
    </row>
    <row r="19" spans="1:14" x14ac:dyDescent="0.3">
      <c r="A19" s="93" t="s">
        <v>1179</v>
      </c>
      <c r="B19" s="94" t="s">
        <v>1187</v>
      </c>
      <c r="C19" s="101"/>
      <c r="D19" s="1"/>
      <c r="E19" s="2"/>
      <c r="F19" s="2"/>
      <c r="G19" s="2"/>
      <c r="H19" s="393"/>
      <c r="I19" s="96"/>
      <c r="J19" s="96"/>
      <c r="K19" s="96"/>
      <c r="L19" s="96"/>
      <c r="M19" s="96"/>
      <c r="N19" s="96"/>
    </row>
    <row r="20" spans="1:14" ht="30.6" x14ac:dyDescent="0.3">
      <c r="A20" s="99" t="s">
        <v>1180</v>
      </c>
      <c r="B20" s="100" t="s">
        <v>522</v>
      </c>
      <c r="C20" s="101" t="s">
        <v>0</v>
      </c>
      <c r="D20" s="1"/>
      <c r="E20" s="2"/>
      <c r="F20" s="2"/>
      <c r="G20" s="2"/>
      <c r="H20" s="102"/>
      <c r="I20" s="103"/>
      <c r="J20" s="103"/>
      <c r="K20" s="103"/>
      <c r="L20" s="103"/>
      <c r="M20" s="103"/>
      <c r="N20" s="103">
        <f>SUM(J22:J58)</f>
        <v>68.603999999999999</v>
      </c>
    </row>
    <row r="21" spans="1:14" x14ac:dyDescent="0.3">
      <c r="A21" s="99"/>
      <c r="B21" s="137" t="s">
        <v>1137</v>
      </c>
      <c r="C21" s="132"/>
      <c r="D21" s="1"/>
      <c r="E21" s="2"/>
      <c r="F21" s="2"/>
      <c r="G21" s="206"/>
      <c r="H21" s="102"/>
      <c r="I21" s="103"/>
      <c r="J21" s="103"/>
      <c r="K21" s="103"/>
      <c r="L21" s="103"/>
      <c r="M21" s="103"/>
      <c r="N21" s="103"/>
    </row>
    <row r="22" spans="1:14" x14ac:dyDescent="0.3">
      <c r="A22" s="106"/>
      <c r="B22" s="115" t="s">
        <v>127</v>
      </c>
      <c r="C22" s="303"/>
      <c r="D22" s="304"/>
      <c r="E22" s="305"/>
      <c r="F22" s="306"/>
      <c r="G22" s="305"/>
      <c r="H22" s="304"/>
      <c r="I22" s="307"/>
      <c r="J22" s="307"/>
      <c r="K22" s="113"/>
      <c r="L22" s="113"/>
      <c r="M22" s="113"/>
      <c r="N22" s="113"/>
    </row>
    <row r="23" spans="1:14" ht="20.399999999999999" x14ac:dyDescent="0.3">
      <c r="A23" s="308"/>
      <c r="B23" s="4" t="s">
        <v>1138</v>
      </c>
      <c r="C23" s="406" t="s">
        <v>0</v>
      </c>
      <c r="D23" s="407"/>
      <c r="E23" s="408"/>
      <c r="F23" s="408">
        <v>1.35</v>
      </c>
      <c r="G23" s="408">
        <v>2.8</v>
      </c>
      <c r="H23" s="407">
        <v>1</v>
      </c>
      <c r="I23" s="409"/>
      <c r="J23" s="408">
        <f t="shared" ref="J23:J32" si="0">PRODUCT(F23*G23*H23)</f>
        <v>3.78</v>
      </c>
      <c r="K23" s="313"/>
      <c r="L23" s="313"/>
      <c r="M23" s="313"/>
      <c r="N23" s="313"/>
    </row>
    <row r="24" spans="1:14" ht="20.399999999999999" x14ac:dyDescent="0.3">
      <c r="A24" s="308"/>
      <c r="B24" s="4" t="s">
        <v>1054</v>
      </c>
      <c r="C24" s="406" t="s">
        <v>0</v>
      </c>
      <c r="D24" s="407"/>
      <c r="E24" s="408"/>
      <c r="F24" s="408">
        <v>1.47</v>
      </c>
      <c r="G24" s="408">
        <v>1</v>
      </c>
      <c r="H24" s="407">
        <v>1</v>
      </c>
      <c r="I24" s="409"/>
      <c r="J24" s="408">
        <f t="shared" si="0"/>
        <v>1.47</v>
      </c>
      <c r="K24" s="313"/>
      <c r="L24" s="313"/>
      <c r="M24" s="313"/>
      <c r="N24" s="313"/>
    </row>
    <row r="25" spans="1:14" ht="20.399999999999999" x14ac:dyDescent="0.3">
      <c r="A25" s="114"/>
      <c r="B25" s="4" t="s">
        <v>1139</v>
      </c>
      <c r="C25" s="406" t="s">
        <v>0</v>
      </c>
      <c r="D25" s="407"/>
      <c r="E25" s="408"/>
      <c r="F25" s="408">
        <v>0.98</v>
      </c>
      <c r="G25" s="408">
        <v>1</v>
      </c>
      <c r="H25" s="407">
        <v>1</v>
      </c>
      <c r="I25" s="409"/>
      <c r="J25" s="408">
        <f t="shared" si="0"/>
        <v>0.98</v>
      </c>
      <c r="K25" s="111"/>
      <c r="L25" s="111"/>
      <c r="M25" s="111"/>
      <c r="N25" s="111"/>
    </row>
    <row r="26" spans="1:14" x14ac:dyDescent="0.3">
      <c r="A26" s="114"/>
      <c r="B26" s="4"/>
      <c r="C26" s="406" t="s">
        <v>0</v>
      </c>
      <c r="D26" s="407"/>
      <c r="E26" s="408"/>
      <c r="F26" s="408">
        <v>0.98</v>
      </c>
      <c r="G26" s="408">
        <v>2.8</v>
      </c>
      <c r="H26" s="407">
        <v>1</v>
      </c>
      <c r="I26" s="409"/>
      <c r="J26" s="408">
        <f t="shared" si="0"/>
        <v>2.7439999999999998</v>
      </c>
      <c r="K26" s="111"/>
      <c r="L26" s="111"/>
      <c r="M26" s="111"/>
      <c r="N26" s="111"/>
    </row>
    <row r="27" spans="1:14" ht="20.399999999999999" x14ac:dyDescent="0.3">
      <c r="A27" s="114"/>
      <c r="B27" s="4" t="s">
        <v>1140</v>
      </c>
      <c r="C27" s="406" t="s">
        <v>0</v>
      </c>
      <c r="D27" s="407"/>
      <c r="E27" s="408"/>
      <c r="F27" s="408">
        <v>1.34</v>
      </c>
      <c r="G27" s="408">
        <v>1</v>
      </c>
      <c r="H27" s="407">
        <v>2</v>
      </c>
      <c r="I27" s="409"/>
      <c r="J27" s="408">
        <f t="shared" si="0"/>
        <v>2.68</v>
      </c>
      <c r="K27" s="111"/>
      <c r="L27" s="111"/>
      <c r="M27" s="111"/>
      <c r="N27" s="111"/>
    </row>
    <row r="28" spans="1:14" ht="20.399999999999999" x14ac:dyDescent="0.3">
      <c r="A28" s="114"/>
      <c r="B28" s="4" t="s">
        <v>1141</v>
      </c>
      <c r="C28" s="406" t="s">
        <v>0</v>
      </c>
      <c r="D28" s="407"/>
      <c r="E28" s="408"/>
      <c r="F28" s="408">
        <v>0.9</v>
      </c>
      <c r="G28" s="408">
        <v>1.2</v>
      </c>
      <c r="H28" s="407">
        <v>1</v>
      </c>
      <c r="I28" s="409"/>
      <c r="J28" s="408">
        <f t="shared" si="0"/>
        <v>1.08</v>
      </c>
      <c r="K28" s="111"/>
      <c r="L28" s="111"/>
      <c r="M28" s="111"/>
      <c r="N28" s="111"/>
    </row>
    <row r="29" spans="1:14" x14ac:dyDescent="0.3">
      <c r="A29" s="114"/>
      <c r="B29" s="4"/>
      <c r="C29" s="406" t="s">
        <v>0</v>
      </c>
      <c r="D29" s="407"/>
      <c r="E29" s="408"/>
      <c r="F29" s="408">
        <v>0.64</v>
      </c>
      <c r="G29" s="408">
        <v>2.8</v>
      </c>
      <c r="H29" s="407">
        <v>1</v>
      </c>
      <c r="I29" s="409"/>
      <c r="J29" s="408">
        <f t="shared" si="0"/>
        <v>1.7919999999999998</v>
      </c>
      <c r="K29" s="111"/>
      <c r="L29" s="111"/>
      <c r="M29" s="111"/>
      <c r="N29" s="111"/>
    </row>
    <row r="30" spans="1:14" ht="20.399999999999999" x14ac:dyDescent="0.3">
      <c r="A30" s="114"/>
      <c r="B30" s="4" t="s">
        <v>1142</v>
      </c>
      <c r="C30" s="406" t="s">
        <v>0</v>
      </c>
      <c r="D30" s="407"/>
      <c r="E30" s="408"/>
      <c r="F30" s="408">
        <v>1.48</v>
      </c>
      <c r="G30" s="408">
        <v>2.8</v>
      </c>
      <c r="H30" s="407">
        <v>1</v>
      </c>
      <c r="I30" s="409"/>
      <c r="J30" s="408">
        <f t="shared" si="0"/>
        <v>4.1440000000000001</v>
      </c>
      <c r="K30" s="111"/>
      <c r="L30" s="111"/>
      <c r="M30" s="111"/>
      <c r="N30" s="111"/>
    </row>
    <row r="31" spans="1:14" ht="20.399999999999999" x14ac:dyDescent="0.3">
      <c r="A31" s="114"/>
      <c r="B31" s="4" t="s">
        <v>1143</v>
      </c>
      <c r="C31" s="406" t="s">
        <v>0</v>
      </c>
      <c r="D31" s="407"/>
      <c r="E31" s="408"/>
      <c r="F31" s="408">
        <v>1.2</v>
      </c>
      <c r="G31" s="408">
        <v>2.8</v>
      </c>
      <c r="H31" s="407">
        <v>1</v>
      </c>
      <c r="I31" s="409"/>
      <c r="J31" s="408">
        <f t="shared" si="0"/>
        <v>3.36</v>
      </c>
      <c r="K31" s="111"/>
      <c r="L31" s="111"/>
      <c r="M31" s="111"/>
      <c r="N31" s="111"/>
    </row>
    <row r="32" spans="1:14" x14ac:dyDescent="0.3">
      <c r="A32" s="114"/>
      <c r="B32" s="4"/>
      <c r="C32" s="406" t="s">
        <v>0</v>
      </c>
      <c r="D32" s="407"/>
      <c r="E32" s="408"/>
      <c r="F32" s="408">
        <v>0.6</v>
      </c>
      <c r="G32" s="408">
        <v>2.1</v>
      </c>
      <c r="H32" s="407">
        <v>1</v>
      </c>
      <c r="I32" s="409"/>
      <c r="J32" s="408">
        <f t="shared" si="0"/>
        <v>1.26</v>
      </c>
      <c r="K32" s="111"/>
      <c r="L32" s="111"/>
      <c r="M32" s="111"/>
      <c r="N32" s="111"/>
    </row>
    <row r="33" spans="1:14" ht="20.399999999999999" x14ac:dyDescent="0.3">
      <c r="A33" s="114"/>
      <c r="B33" s="4" t="s">
        <v>1144</v>
      </c>
      <c r="C33" s="406" t="s">
        <v>0</v>
      </c>
      <c r="D33" s="407"/>
      <c r="E33" s="408"/>
      <c r="F33" s="408">
        <v>0.86</v>
      </c>
      <c r="G33" s="408">
        <v>1</v>
      </c>
      <c r="H33" s="407">
        <v>1</v>
      </c>
      <c r="I33" s="409"/>
      <c r="J33" s="408">
        <f>PRODUCT(F33*G33*H33)</f>
        <v>0.86</v>
      </c>
      <c r="K33" s="111"/>
      <c r="L33" s="111"/>
      <c r="M33" s="111"/>
      <c r="N33" s="111"/>
    </row>
    <row r="34" spans="1:14" x14ac:dyDescent="0.3">
      <c r="A34" s="114"/>
      <c r="B34" s="4"/>
      <c r="C34" s="406" t="s">
        <v>0</v>
      </c>
      <c r="D34" s="407"/>
      <c r="E34" s="408"/>
      <c r="F34" s="408">
        <v>1.27</v>
      </c>
      <c r="G34" s="408">
        <v>2.8</v>
      </c>
      <c r="H34" s="407">
        <v>1</v>
      </c>
      <c r="I34" s="409"/>
      <c r="J34" s="408">
        <f>PRODUCT(F34*G34*H34)</f>
        <v>3.5559999999999996</v>
      </c>
      <c r="K34" s="111"/>
      <c r="L34" s="111"/>
      <c r="M34" s="111"/>
      <c r="N34" s="111"/>
    </row>
    <row r="35" spans="1:14" ht="20.399999999999999" x14ac:dyDescent="0.3">
      <c r="A35" s="114"/>
      <c r="B35" s="4" t="s">
        <v>1145</v>
      </c>
      <c r="C35" s="406" t="s">
        <v>0</v>
      </c>
      <c r="D35" s="407"/>
      <c r="E35" s="408"/>
      <c r="F35" s="408">
        <v>0.4</v>
      </c>
      <c r="G35" s="408">
        <v>1</v>
      </c>
      <c r="H35" s="407">
        <v>1</v>
      </c>
      <c r="I35" s="409"/>
      <c r="J35" s="408">
        <f t="shared" ref="J35:J40" si="1">PRODUCT(F35*G35*H35)</f>
        <v>0.4</v>
      </c>
      <c r="K35" s="111"/>
      <c r="L35" s="111"/>
      <c r="M35" s="111"/>
      <c r="N35" s="111"/>
    </row>
    <row r="36" spans="1:14" x14ac:dyDescent="0.3">
      <c r="A36" s="114"/>
      <c r="B36" s="4"/>
      <c r="C36" s="406" t="s">
        <v>0</v>
      </c>
      <c r="D36" s="407"/>
      <c r="E36" s="408"/>
      <c r="F36" s="408">
        <v>1.2</v>
      </c>
      <c r="G36" s="408">
        <v>1.2</v>
      </c>
      <c r="H36" s="407">
        <v>1</v>
      </c>
      <c r="I36" s="409"/>
      <c r="J36" s="408">
        <f t="shared" si="1"/>
        <v>1.44</v>
      </c>
      <c r="K36" s="111"/>
      <c r="L36" s="111"/>
      <c r="M36" s="111"/>
      <c r="N36" s="111"/>
    </row>
    <row r="37" spans="1:14" ht="20.399999999999999" x14ac:dyDescent="0.3">
      <c r="A37" s="114"/>
      <c r="B37" s="4" t="s">
        <v>1146</v>
      </c>
      <c r="C37" s="406" t="s">
        <v>0</v>
      </c>
      <c r="D37" s="407"/>
      <c r="E37" s="408"/>
      <c r="F37" s="408">
        <v>0.71</v>
      </c>
      <c r="G37" s="408">
        <v>2.8</v>
      </c>
      <c r="H37" s="407">
        <v>1</v>
      </c>
      <c r="I37" s="409"/>
      <c r="J37" s="408">
        <f t="shared" si="1"/>
        <v>1.9879999999999998</v>
      </c>
      <c r="K37" s="111"/>
      <c r="L37" s="111"/>
      <c r="M37" s="111"/>
      <c r="N37" s="111"/>
    </row>
    <row r="38" spans="1:14" x14ac:dyDescent="0.3">
      <c r="A38" s="114"/>
      <c r="B38" s="4"/>
      <c r="C38" s="406" t="s">
        <v>0</v>
      </c>
      <c r="D38" s="407"/>
      <c r="E38" s="408"/>
      <c r="F38" s="408">
        <v>0.27</v>
      </c>
      <c r="G38" s="408">
        <v>2.8</v>
      </c>
      <c r="H38" s="407">
        <v>1</v>
      </c>
      <c r="I38" s="409"/>
      <c r="J38" s="408">
        <f t="shared" si="1"/>
        <v>0.75600000000000001</v>
      </c>
      <c r="K38" s="111"/>
      <c r="L38" s="111"/>
      <c r="M38" s="111"/>
      <c r="N38" s="111"/>
    </row>
    <row r="39" spans="1:14" x14ac:dyDescent="0.3">
      <c r="A39" s="114"/>
      <c r="B39" s="4"/>
      <c r="C39" s="406" t="s">
        <v>0</v>
      </c>
      <c r="D39" s="407"/>
      <c r="E39" s="408"/>
      <c r="F39" s="408">
        <v>0.9</v>
      </c>
      <c r="G39" s="408">
        <v>1.2</v>
      </c>
      <c r="H39" s="407">
        <v>1</v>
      </c>
      <c r="I39" s="409"/>
      <c r="J39" s="408">
        <f t="shared" si="1"/>
        <v>1.08</v>
      </c>
      <c r="K39" s="111"/>
      <c r="L39" s="111"/>
      <c r="M39" s="111"/>
      <c r="N39" s="111"/>
    </row>
    <row r="40" spans="1:14" ht="20.399999999999999" x14ac:dyDescent="0.3">
      <c r="A40" s="114"/>
      <c r="B40" s="4" t="s">
        <v>1147</v>
      </c>
      <c r="C40" s="406" t="s">
        <v>0</v>
      </c>
      <c r="D40" s="407"/>
      <c r="E40" s="408"/>
      <c r="F40" s="408">
        <v>1.46</v>
      </c>
      <c r="G40" s="408">
        <v>2.8</v>
      </c>
      <c r="H40" s="407">
        <v>1</v>
      </c>
      <c r="I40" s="409"/>
      <c r="J40" s="408">
        <f t="shared" si="1"/>
        <v>4.0880000000000001</v>
      </c>
      <c r="K40" s="111"/>
      <c r="L40" s="111"/>
      <c r="M40" s="111"/>
      <c r="N40" s="111"/>
    </row>
    <row r="41" spans="1:14" x14ac:dyDescent="0.3">
      <c r="A41" s="114"/>
      <c r="B41" s="410"/>
      <c r="C41" s="303"/>
      <c r="D41" s="411"/>
      <c r="E41" s="391"/>
      <c r="F41" s="391"/>
      <c r="G41" s="391"/>
      <c r="H41" s="304"/>
      <c r="I41" s="307"/>
      <c r="J41" s="307"/>
      <c r="K41" s="111"/>
      <c r="L41" s="111"/>
      <c r="M41" s="111"/>
      <c r="N41" s="111"/>
    </row>
    <row r="42" spans="1:14" x14ac:dyDescent="0.3">
      <c r="A42" s="99"/>
      <c r="B42" s="137" t="s">
        <v>1148</v>
      </c>
      <c r="C42" s="132"/>
      <c r="D42" s="1"/>
      <c r="E42" s="2"/>
      <c r="F42" s="2"/>
      <c r="G42" s="206"/>
      <c r="H42" s="102"/>
      <c r="I42" s="103"/>
      <c r="J42" s="103"/>
      <c r="K42" s="103"/>
      <c r="L42" s="103"/>
      <c r="M42" s="103"/>
      <c r="N42" s="103"/>
    </row>
    <row r="43" spans="1:14" x14ac:dyDescent="0.3">
      <c r="A43" s="106"/>
      <c r="B43" s="115" t="s">
        <v>127</v>
      </c>
      <c r="C43" s="303"/>
      <c r="D43" s="304"/>
      <c r="E43" s="305"/>
      <c r="F43" s="306"/>
      <c r="G43" s="305"/>
      <c r="H43" s="304"/>
      <c r="I43" s="307"/>
      <c r="J43" s="307"/>
      <c r="K43" s="113"/>
      <c r="L43" s="113"/>
      <c r="M43" s="113"/>
      <c r="N43" s="113"/>
    </row>
    <row r="44" spans="1:14" x14ac:dyDescent="0.3">
      <c r="A44" s="308"/>
      <c r="B44" s="4" t="s">
        <v>1054</v>
      </c>
      <c r="C44" s="406" t="s">
        <v>0</v>
      </c>
      <c r="D44" s="407"/>
      <c r="E44" s="408"/>
      <c r="F44" s="408">
        <v>0.8</v>
      </c>
      <c r="G44" s="408">
        <v>2.8</v>
      </c>
      <c r="H44" s="407">
        <v>1</v>
      </c>
      <c r="I44" s="409"/>
      <c r="J44" s="408">
        <f t="shared" ref="J44:J57" si="2">PRODUCT(F44*G44*H44)</f>
        <v>2.2399999999999998</v>
      </c>
      <c r="K44" s="313"/>
      <c r="L44" s="313"/>
      <c r="M44" s="313"/>
      <c r="N44" s="313"/>
    </row>
    <row r="45" spans="1:14" x14ac:dyDescent="0.3">
      <c r="A45" s="114"/>
      <c r="B45" s="4"/>
      <c r="C45" s="406" t="s">
        <v>0</v>
      </c>
      <c r="D45" s="407"/>
      <c r="E45" s="408"/>
      <c r="F45" s="408">
        <v>1</v>
      </c>
      <c r="G45" s="408">
        <v>1.2</v>
      </c>
      <c r="H45" s="407">
        <v>1</v>
      </c>
      <c r="I45" s="409"/>
      <c r="J45" s="408">
        <f t="shared" si="2"/>
        <v>1.2</v>
      </c>
      <c r="K45" s="111"/>
      <c r="L45" s="111"/>
      <c r="M45" s="111"/>
      <c r="N45" s="111"/>
    </row>
    <row r="46" spans="1:14" x14ac:dyDescent="0.3">
      <c r="A46" s="114"/>
      <c r="B46" s="4" t="s">
        <v>1055</v>
      </c>
      <c r="C46" s="406" t="s">
        <v>0</v>
      </c>
      <c r="D46" s="407"/>
      <c r="E46" s="408"/>
      <c r="F46" s="408">
        <v>1.05</v>
      </c>
      <c r="G46" s="408">
        <v>1</v>
      </c>
      <c r="H46" s="407">
        <v>1</v>
      </c>
      <c r="I46" s="409"/>
      <c r="J46" s="408">
        <f t="shared" si="2"/>
        <v>1.05</v>
      </c>
      <c r="K46" s="111"/>
      <c r="L46" s="111"/>
      <c r="M46" s="111"/>
      <c r="N46" s="111"/>
    </row>
    <row r="47" spans="1:14" x14ac:dyDescent="0.3">
      <c r="A47" s="114"/>
      <c r="B47" s="4" t="s">
        <v>1149</v>
      </c>
      <c r="C47" s="406" t="s">
        <v>0</v>
      </c>
      <c r="D47" s="407"/>
      <c r="E47" s="408"/>
      <c r="F47" s="408">
        <v>0.95</v>
      </c>
      <c r="G47" s="408">
        <v>2.8</v>
      </c>
      <c r="H47" s="407">
        <v>2</v>
      </c>
      <c r="I47" s="409"/>
      <c r="J47" s="408">
        <f t="shared" si="2"/>
        <v>5.3199999999999994</v>
      </c>
      <c r="K47" s="111"/>
      <c r="L47" s="111"/>
      <c r="M47" s="111"/>
      <c r="N47" s="111"/>
    </row>
    <row r="48" spans="1:14" x14ac:dyDescent="0.3">
      <c r="A48" s="114"/>
      <c r="B48" s="4"/>
      <c r="C48" s="406" t="s">
        <v>0</v>
      </c>
      <c r="D48" s="407"/>
      <c r="E48" s="408"/>
      <c r="F48" s="408">
        <v>0.75</v>
      </c>
      <c r="G48" s="408">
        <v>2.8</v>
      </c>
      <c r="H48" s="407">
        <v>2</v>
      </c>
      <c r="I48" s="409"/>
      <c r="J48" s="408">
        <f t="shared" si="2"/>
        <v>4.1999999999999993</v>
      </c>
      <c r="K48" s="111"/>
      <c r="L48" s="111"/>
      <c r="M48" s="111"/>
      <c r="N48" s="111"/>
    </row>
    <row r="49" spans="1:14" x14ac:dyDescent="0.3">
      <c r="A49" s="114"/>
      <c r="B49" s="4" t="s">
        <v>1141</v>
      </c>
      <c r="C49" s="406" t="s">
        <v>0</v>
      </c>
      <c r="D49" s="407"/>
      <c r="E49" s="408"/>
      <c r="F49" s="408">
        <v>0.9</v>
      </c>
      <c r="G49" s="408">
        <v>1.2</v>
      </c>
      <c r="H49" s="407">
        <v>1</v>
      </c>
      <c r="I49" s="409"/>
      <c r="J49" s="408">
        <f t="shared" si="2"/>
        <v>1.08</v>
      </c>
      <c r="K49" s="111"/>
      <c r="L49" s="111"/>
      <c r="M49" s="111"/>
      <c r="N49" s="111"/>
    </row>
    <row r="50" spans="1:14" x14ac:dyDescent="0.3">
      <c r="A50" s="114"/>
      <c r="B50" s="4" t="s">
        <v>1150</v>
      </c>
      <c r="C50" s="406" t="s">
        <v>0</v>
      </c>
      <c r="D50" s="407"/>
      <c r="E50" s="408"/>
      <c r="F50" s="408">
        <v>2.2999999999999998</v>
      </c>
      <c r="G50" s="408">
        <v>2.8</v>
      </c>
      <c r="H50" s="407">
        <v>1</v>
      </c>
      <c r="I50" s="409"/>
      <c r="J50" s="408">
        <f t="shared" si="2"/>
        <v>6.4399999999999995</v>
      </c>
      <c r="K50" s="111"/>
      <c r="L50" s="111"/>
      <c r="M50" s="111"/>
      <c r="N50" s="111"/>
    </row>
    <row r="51" spans="1:14" x14ac:dyDescent="0.3">
      <c r="A51" s="114"/>
      <c r="B51" s="4" t="s">
        <v>1151</v>
      </c>
      <c r="C51" s="406" t="s">
        <v>0</v>
      </c>
      <c r="D51" s="407"/>
      <c r="E51" s="408"/>
      <c r="F51" s="408">
        <v>0.78</v>
      </c>
      <c r="G51" s="408">
        <v>2.8</v>
      </c>
      <c r="H51" s="407">
        <v>1</v>
      </c>
      <c r="I51" s="409"/>
      <c r="J51" s="408">
        <f t="shared" si="2"/>
        <v>2.1839999999999997</v>
      </c>
      <c r="K51" s="111"/>
      <c r="L51" s="111"/>
      <c r="M51" s="111"/>
      <c r="N51" s="111"/>
    </row>
    <row r="52" spans="1:14" x14ac:dyDescent="0.3">
      <c r="A52" s="114"/>
      <c r="B52" s="4"/>
      <c r="C52" s="406" t="s">
        <v>0</v>
      </c>
      <c r="D52" s="407"/>
      <c r="E52" s="408"/>
      <c r="F52" s="408">
        <v>0.9</v>
      </c>
      <c r="G52" s="408">
        <v>1.2</v>
      </c>
      <c r="H52" s="407">
        <v>1</v>
      </c>
      <c r="I52" s="409"/>
      <c r="J52" s="408">
        <f t="shared" si="2"/>
        <v>1.08</v>
      </c>
      <c r="K52" s="111"/>
      <c r="L52" s="111"/>
      <c r="M52" s="111"/>
      <c r="N52" s="111"/>
    </row>
    <row r="53" spans="1:14" x14ac:dyDescent="0.3">
      <c r="A53" s="114"/>
      <c r="B53" s="4" t="s">
        <v>1152</v>
      </c>
      <c r="C53" s="406" t="s">
        <v>0</v>
      </c>
      <c r="D53" s="407"/>
      <c r="E53" s="408"/>
      <c r="F53" s="408">
        <v>0.98</v>
      </c>
      <c r="G53" s="408">
        <v>2.8</v>
      </c>
      <c r="H53" s="407">
        <v>1</v>
      </c>
      <c r="I53" s="409"/>
      <c r="J53" s="408">
        <f t="shared" si="2"/>
        <v>2.7439999999999998</v>
      </c>
      <c r="K53" s="111"/>
      <c r="L53" s="111"/>
      <c r="M53" s="111"/>
      <c r="N53" s="111"/>
    </row>
    <row r="54" spans="1:14" x14ac:dyDescent="0.3">
      <c r="A54" s="114"/>
      <c r="B54" s="4"/>
      <c r="C54" s="406" t="s">
        <v>0</v>
      </c>
      <c r="D54" s="407"/>
      <c r="E54" s="408"/>
      <c r="F54" s="408">
        <v>0.98</v>
      </c>
      <c r="G54" s="408">
        <v>1</v>
      </c>
      <c r="H54" s="407">
        <v>1</v>
      </c>
      <c r="I54" s="409"/>
      <c r="J54" s="408">
        <f t="shared" si="2"/>
        <v>0.98</v>
      </c>
      <c r="K54" s="111"/>
      <c r="L54" s="111"/>
      <c r="M54" s="111"/>
      <c r="N54" s="111"/>
    </row>
    <row r="55" spans="1:14" x14ac:dyDescent="0.3">
      <c r="A55" s="114"/>
      <c r="B55" s="4" t="s">
        <v>1153</v>
      </c>
      <c r="C55" s="406" t="s">
        <v>0</v>
      </c>
      <c r="D55" s="407"/>
      <c r="E55" s="408"/>
      <c r="F55" s="408">
        <v>0.8</v>
      </c>
      <c r="G55" s="408">
        <v>0</v>
      </c>
      <c r="H55" s="407">
        <v>1</v>
      </c>
      <c r="I55" s="409"/>
      <c r="J55" s="408">
        <f t="shared" si="2"/>
        <v>0</v>
      </c>
      <c r="K55" s="111"/>
      <c r="L55" s="111"/>
      <c r="M55" s="111"/>
      <c r="N55" s="111"/>
    </row>
    <row r="56" spans="1:14" x14ac:dyDescent="0.3">
      <c r="A56" s="114"/>
      <c r="B56" s="4"/>
      <c r="C56" s="406" t="s">
        <v>0</v>
      </c>
      <c r="D56" s="407"/>
      <c r="E56" s="408"/>
      <c r="F56" s="408">
        <v>1.06</v>
      </c>
      <c r="G56" s="408">
        <v>1</v>
      </c>
      <c r="H56" s="407">
        <v>1</v>
      </c>
      <c r="I56" s="409"/>
      <c r="J56" s="408">
        <f t="shared" si="2"/>
        <v>1.06</v>
      </c>
      <c r="K56" s="111"/>
      <c r="L56" s="111"/>
      <c r="M56" s="111"/>
      <c r="N56" s="111"/>
    </row>
    <row r="57" spans="1:14" x14ac:dyDescent="0.3">
      <c r="A57" s="114"/>
      <c r="B57" s="4" t="s">
        <v>1154</v>
      </c>
      <c r="C57" s="406" t="s">
        <v>0</v>
      </c>
      <c r="D57" s="407"/>
      <c r="E57" s="408"/>
      <c r="F57" s="408">
        <v>0.56000000000000005</v>
      </c>
      <c r="G57" s="408">
        <v>2.8</v>
      </c>
      <c r="H57" s="407">
        <v>1</v>
      </c>
      <c r="I57" s="409"/>
      <c r="J57" s="408">
        <f t="shared" si="2"/>
        <v>1.5680000000000001</v>
      </c>
      <c r="K57" s="111"/>
      <c r="L57" s="111"/>
      <c r="M57" s="111"/>
      <c r="N57" s="111"/>
    </row>
    <row r="58" spans="1:14" x14ac:dyDescent="0.3">
      <c r="A58" s="106"/>
      <c r="B58" s="115"/>
      <c r="C58" s="121"/>
      <c r="D58" s="3"/>
      <c r="E58" s="122"/>
      <c r="F58" s="122"/>
      <c r="G58" s="122"/>
      <c r="H58" s="3"/>
      <c r="I58" s="113"/>
      <c r="J58" s="113"/>
      <c r="K58" s="113"/>
      <c r="L58" s="113"/>
      <c r="M58" s="113"/>
      <c r="N58" s="113"/>
    </row>
    <row r="59" spans="1:14" x14ac:dyDescent="0.3">
      <c r="A59" s="99" t="s">
        <v>1182</v>
      </c>
      <c r="B59" s="100" t="s">
        <v>520</v>
      </c>
      <c r="C59" s="101" t="s">
        <v>0</v>
      </c>
      <c r="D59" s="1"/>
      <c r="E59" s="2"/>
      <c r="F59" s="2"/>
      <c r="G59" s="2"/>
      <c r="H59" s="102"/>
      <c r="I59" s="103"/>
      <c r="J59" s="103"/>
      <c r="K59" s="103"/>
      <c r="L59" s="103"/>
      <c r="M59" s="103"/>
      <c r="N59" s="103">
        <f>SUM(J59:J85)</f>
        <v>10.26</v>
      </c>
    </row>
    <row r="60" spans="1:14" x14ac:dyDescent="0.3">
      <c r="A60" s="99"/>
      <c r="B60" s="137" t="s">
        <v>1137</v>
      </c>
      <c r="C60" s="132"/>
      <c r="D60" s="1"/>
      <c r="E60" s="2"/>
      <c r="F60" s="2"/>
      <c r="G60" s="206"/>
      <c r="H60" s="102"/>
      <c r="I60" s="103"/>
      <c r="J60" s="103"/>
      <c r="K60" s="103"/>
      <c r="L60" s="103"/>
      <c r="M60" s="103"/>
      <c r="N60" s="103"/>
    </row>
    <row r="61" spans="1:14" x14ac:dyDescent="0.3">
      <c r="A61" s="106"/>
      <c r="B61" s="115" t="s">
        <v>127</v>
      </c>
      <c r="C61" s="303"/>
      <c r="D61" s="304"/>
      <c r="E61" s="305"/>
      <c r="F61" s="306"/>
      <c r="G61" s="305"/>
      <c r="H61" s="304"/>
      <c r="I61" s="307"/>
      <c r="J61" s="307"/>
      <c r="K61" s="113"/>
      <c r="L61" s="113"/>
      <c r="M61" s="113"/>
      <c r="N61" s="113"/>
    </row>
    <row r="62" spans="1:14" x14ac:dyDescent="0.3">
      <c r="A62" s="106"/>
      <c r="B62" s="134" t="s">
        <v>1155</v>
      </c>
      <c r="C62" s="124" t="s">
        <v>0</v>
      </c>
      <c r="D62" s="5">
        <v>1</v>
      </c>
      <c r="E62" s="6">
        <v>0.05</v>
      </c>
      <c r="F62" s="6"/>
      <c r="G62" s="6">
        <v>2.8</v>
      </c>
      <c r="H62" s="5">
        <v>1</v>
      </c>
      <c r="I62" s="7"/>
      <c r="J62" s="7">
        <f t="shared" ref="J62:J71" si="3">IF(D62="","",PRODUCT(D62:H62))</f>
        <v>0.13999999999999999</v>
      </c>
      <c r="K62" s="111"/>
      <c r="L62" s="111"/>
      <c r="M62" s="111"/>
      <c r="N62" s="111"/>
    </row>
    <row r="63" spans="1:14" x14ac:dyDescent="0.3">
      <c r="A63" s="106"/>
      <c r="B63" s="134" t="s">
        <v>1156</v>
      </c>
      <c r="C63" s="124" t="s">
        <v>0</v>
      </c>
      <c r="D63" s="5">
        <v>1</v>
      </c>
      <c r="E63" s="6">
        <v>0.2</v>
      </c>
      <c r="F63" s="6"/>
      <c r="G63" s="6">
        <v>2.8</v>
      </c>
      <c r="H63" s="5">
        <v>1</v>
      </c>
      <c r="I63" s="7"/>
      <c r="J63" s="7">
        <f t="shared" si="3"/>
        <v>0.55999999999999994</v>
      </c>
      <c r="K63" s="111"/>
      <c r="L63" s="111"/>
      <c r="M63" s="111"/>
      <c r="N63" s="111"/>
    </row>
    <row r="64" spans="1:14" x14ac:dyDescent="0.3">
      <c r="A64" s="106"/>
      <c r="B64" s="134" t="s">
        <v>1157</v>
      </c>
      <c r="C64" s="124" t="s">
        <v>0</v>
      </c>
      <c r="D64" s="5">
        <v>1</v>
      </c>
      <c r="E64" s="6">
        <v>0.05</v>
      </c>
      <c r="F64" s="6"/>
      <c r="G64" s="6">
        <v>2.8</v>
      </c>
      <c r="H64" s="5">
        <v>1</v>
      </c>
      <c r="I64" s="7"/>
      <c r="J64" s="7">
        <f t="shared" si="3"/>
        <v>0.13999999999999999</v>
      </c>
      <c r="K64" s="111"/>
      <c r="L64" s="111"/>
      <c r="M64" s="111"/>
      <c r="N64" s="111"/>
    </row>
    <row r="65" spans="1:14" x14ac:dyDescent="0.3">
      <c r="A65" s="106"/>
      <c r="B65" s="134" t="s">
        <v>1158</v>
      </c>
      <c r="C65" s="124" t="s">
        <v>0</v>
      </c>
      <c r="D65" s="5">
        <v>1</v>
      </c>
      <c r="E65" s="6">
        <v>0.05</v>
      </c>
      <c r="F65" s="6"/>
      <c r="G65" s="6">
        <v>2.8</v>
      </c>
      <c r="H65" s="5">
        <v>1</v>
      </c>
      <c r="I65" s="7"/>
      <c r="J65" s="7">
        <f t="shared" si="3"/>
        <v>0.13999999999999999</v>
      </c>
      <c r="K65" s="111"/>
      <c r="L65" s="111"/>
      <c r="M65" s="111"/>
      <c r="N65" s="111"/>
    </row>
    <row r="66" spans="1:14" x14ac:dyDescent="0.3">
      <c r="A66" s="106"/>
      <c r="B66" s="134" t="s">
        <v>1067</v>
      </c>
      <c r="C66" s="124" t="s">
        <v>0</v>
      </c>
      <c r="D66" s="5">
        <v>1</v>
      </c>
      <c r="E66" s="6">
        <v>0.27</v>
      </c>
      <c r="F66" s="6"/>
      <c r="G66" s="6">
        <v>1</v>
      </c>
      <c r="H66" s="5">
        <v>1</v>
      </c>
      <c r="I66" s="7"/>
      <c r="J66" s="7">
        <f t="shared" si="3"/>
        <v>0.27</v>
      </c>
      <c r="K66" s="111"/>
      <c r="L66" s="111"/>
      <c r="M66" s="111"/>
      <c r="N66" s="111"/>
    </row>
    <row r="67" spans="1:14" x14ac:dyDescent="0.3">
      <c r="A67" s="106"/>
      <c r="B67" s="134" t="s">
        <v>1066</v>
      </c>
      <c r="C67" s="124" t="s">
        <v>0</v>
      </c>
      <c r="D67" s="5">
        <v>1</v>
      </c>
      <c r="E67" s="6">
        <v>0.25</v>
      </c>
      <c r="F67" s="6"/>
      <c r="G67" s="6">
        <v>1</v>
      </c>
      <c r="H67" s="5">
        <v>1</v>
      </c>
      <c r="I67" s="7"/>
      <c r="J67" s="7">
        <f t="shared" si="3"/>
        <v>0.25</v>
      </c>
      <c r="K67" s="111"/>
      <c r="L67" s="111"/>
      <c r="M67" s="111"/>
      <c r="N67" s="111"/>
    </row>
    <row r="68" spans="1:14" x14ac:dyDescent="0.3">
      <c r="A68" s="106"/>
      <c r="B68" s="134" t="s">
        <v>1159</v>
      </c>
      <c r="C68" s="124" t="s">
        <v>0</v>
      </c>
      <c r="D68" s="5">
        <v>1</v>
      </c>
      <c r="E68" s="6">
        <v>0.4</v>
      </c>
      <c r="F68" s="6"/>
      <c r="G68" s="6">
        <v>2.8</v>
      </c>
      <c r="H68" s="5">
        <v>1</v>
      </c>
      <c r="I68" s="7"/>
      <c r="J68" s="7">
        <f t="shared" si="3"/>
        <v>1.1199999999999999</v>
      </c>
      <c r="K68" s="111"/>
      <c r="L68" s="111"/>
      <c r="M68" s="111"/>
      <c r="N68" s="111"/>
    </row>
    <row r="69" spans="1:14" x14ac:dyDescent="0.3">
      <c r="A69" s="106"/>
      <c r="B69" s="134" t="s">
        <v>1160</v>
      </c>
      <c r="C69" s="124" t="s">
        <v>0</v>
      </c>
      <c r="D69" s="5">
        <v>1</v>
      </c>
      <c r="E69" s="6">
        <v>0.4</v>
      </c>
      <c r="F69" s="6"/>
      <c r="G69" s="6">
        <v>2.8</v>
      </c>
      <c r="H69" s="5">
        <v>1</v>
      </c>
      <c r="I69" s="7"/>
      <c r="J69" s="7">
        <f t="shared" si="3"/>
        <v>1.1199999999999999</v>
      </c>
      <c r="K69" s="111"/>
      <c r="L69" s="111"/>
      <c r="M69" s="111"/>
      <c r="N69" s="111"/>
    </row>
    <row r="70" spans="1:14" x14ac:dyDescent="0.3">
      <c r="A70" s="106"/>
      <c r="B70" s="134" t="s">
        <v>1161</v>
      </c>
      <c r="C70" s="124" t="s">
        <v>0</v>
      </c>
      <c r="D70" s="5">
        <v>1</v>
      </c>
      <c r="E70" s="6">
        <f>0.28+0.15</f>
        <v>0.43000000000000005</v>
      </c>
      <c r="F70" s="6"/>
      <c r="G70" s="6">
        <v>2.8</v>
      </c>
      <c r="H70" s="5">
        <v>1</v>
      </c>
      <c r="I70" s="7"/>
      <c r="J70" s="7">
        <f t="shared" si="3"/>
        <v>1.204</v>
      </c>
      <c r="K70" s="111"/>
      <c r="L70" s="111"/>
      <c r="M70" s="111"/>
      <c r="N70" s="111"/>
    </row>
    <row r="71" spans="1:14" x14ac:dyDescent="0.3">
      <c r="A71" s="106"/>
      <c r="B71" s="134" t="s">
        <v>1162</v>
      </c>
      <c r="C71" s="124" t="s">
        <v>0</v>
      </c>
      <c r="D71" s="5">
        <v>1</v>
      </c>
      <c r="E71" s="6">
        <f>0.25</f>
        <v>0.25</v>
      </c>
      <c r="F71" s="6"/>
      <c r="G71" s="6">
        <v>2.8</v>
      </c>
      <c r="H71" s="5">
        <v>1</v>
      </c>
      <c r="I71" s="7"/>
      <c r="J71" s="7">
        <f t="shared" si="3"/>
        <v>0.7</v>
      </c>
      <c r="K71" s="111"/>
      <c r="L71" s="111"/>
      <c r="M71" s="111"/>
      <c r="N71" s="111"/>
    </row>
    <row r="72" spans="1:14" x14ac:dyDescent="0.3">
      <c r="A72" s="106"/>
      <c r="B72" s="410"/>
      <c r="C72" s="303"/>
      <c r="D72" s="411"/>
      <c r="E72" s="391"/>
      <c r="F72" s="391"/>
      <c r="G72" s="391"/>
      <c r="H72" s="304"/>
      <c r="I72" s="307"/>
      <c r="J72" s="307"/>
      <c r="K72" s="111"/>
      <c r="L72" s="111"/>
      <c r="M72" s="111"/>
      <c r="N72" s="111"/>
    </row>
    <row r="73" spans="1:14" x14ac:dyDescent="0.3">
      <c r="A73" s="106"/>
      <c r="B73" s="137" t="s">
        <v>1148</v>
      </c>
      <c r="C73" s="132"/>
      <c r="D73" s="1"/>
      <c r="E73" s="2"/>
      <c r="F73" s="2"/>
      <c r="G73" s="206"/>
      <c r="H73" s="102"/>
      <c r="I73" s="103"/>
      <c r="J73" s="103"/>
      <c r="K73" s="111"/>
      <c r="L73" s="111"/>
      <c r="M73" s="111"/>
      <c r="N73" s="111"/>
    </row>
    <row r="74" spans="1:14" x14ac:dyDescent="0.3">
      <c r="A74" s="106"/>
      <c r="B74" s="115" t="s">
        <v>127</v>
      </c>
      <c r="C74" s="303"/>
      <c r="D74" s="304"/>
      <c r="E74" s="305"/>
      <c r="F74" s="306"/>
      <c r="G74" s="305"/>
      <c r="H74" s="304"/>
      <c r="I74" s="307"/>
      <c r="J74" s="307"/>
      <c r="K74" s="111"/>
      <c r="L74" s="111"/>
      <c r="M74" s="111"/>
      <c r="N74" s="111"/>
    </row>
    <row r="75" spans="1:14" x14ac:dyDescent="0.3">
      <c r="A75" s="106"/>
      <c r="B75" s="134" t="s">
        <v>1066</v>
      </c>
      <c r="C75" s="124" t="s">
        <v>0</v>
      </c>
      <c r="D75" s="5">
        <v>1</v>
      </c>
      <c r="E75" s="6">
        <v>0.1</v>
      </c>
      <c r="F75" s="6"/>
      <c r="G75" s="6">
        <v>2.8</v>
      </c>
      <c r="H75" s="5">
        <v>1</v>
      </c>
      <c r="I75" s="7"/>
      <c r="J75" s="7">
        <f t="shared" ref="J75:J84" si="4">IF(D75="","",PRODUCT(D75:H75))</f>
        <v>0.27999999999999997</v>
      </c>
      <c r="K75" s="111"/>
      <c r="L75" s="111"/>
      <c r="M75" s="111"/>
      <c r="N75" s="111"/>
    </row>
    <row r="76" spans="1:14" x14ac:dyDescent="0.3">
      <c r="A76" s="106"/>
      <c r="B76" s="134" t="s">
        <v>1067</v>
      </c>
      <c r="C76" s="124" t="s">
        <v>0</v>
      </c>
      <c r="D76" s="5">
        <v>1</v>
      </c>
      <c r="E76" s="6">
        <v>0.1</v>
      </c>
      <c r="F76" s="6"/>
      <c r="G76" s="6">
        <v>1</v>
      </c>
      <c r="H76" s="5">
        <v>1</v>
      </c>
      <c r="I76" s="7"/>
      <c r="J76" s="7">
        <f t="shared" si="4"/>
        <v>0.1</v>
      </c>
      <c r="K76" s="111"/>
      <c r="L76" s="111"/>
      <c r="M76" s="111"/>
      <c r="N76" s="111"/>
    </row>
    <row r="77" spans="1:14" x14ac:dyDescent="0.3">
      <c r="A77" s="106"/>
      <c r="B77" s="134" t="s">
        <v>1068</v>
      </c>
      <c r="C77" s="124" t="s">
        <v>0</v>
      </c>
      <c r="D77" s="5">
        <v>1</v>
      </c>
      <c r="E77" s="6">
        <v>0.1</v>
      </c>
      <c r="F77" s="6"/>
      <c r="G77" s="6">
        <v>1</v>
      </c>
      <c r="H77" s="5">
        <v>1</v>
      </c>
      <c r="I77" s="7"/>
      <c r="J77" s="7">
        <f t="shared" si="4"/>
        <v>0.1</v>
      </c>
      <c r="K77" s="111"/>
      <c r="L77" s="111"/>
      <c r="M77" s="111"/>
      <c r="N77" s="111"/>
    </row>
    <row r="78" spans="1:14" x14ac:dyDescent="0.3">
      <c r="A78" s="106"/>
      <c r="B78" s="134"/>
      <c r="C78" s="124" t="s">
        <v>0</v>
      </c>
      <c r="D78" s="5">
        <v>1</v>
      </c>
      <c r="E78" s="6">
        <f>0.12+0.18</f>
        <v>0.3</v>
      </c>
      <c r="F78" s="6"/>
      <c r="G78" s="6">
        <v>1</v>
      </c>
      <c r="H78" s="5">
        <v>1</v>
      </c>
      <c r="I78" s="7"/>
      <c r="J78" s="7">
        <f t="shared" si="4"/>
        <v>0.3</v>
      </c>
      <c r="K78" s="111"/>
      <c r="L78" s="111"/>
      <c r="M78" s="111"/>
      <c r="N78" s="111"/>
    </row>
    <row r="79" spans="1:14" x14ac:dyDescent="0.3">
      <c r="A79" s="106"/>
      <c r="B79" s="134" t="s">
        <v>1160</v>
      </c>
      <c r="C79" s="124" t="s">
        <v>0</v>
      </c>
      <c r="D79" s="5">
        <v>1</v>
      </c>
      <c r="E79" s="6">
        <v>0.1</v>
      </c>
      <c r="F79" s="6"/>
      <c r="G79" s="6">
        <v>2.8</v>
      </c>
      <c r="H79" s="5">
        <v>1</v>
      </c>
      <c r="I79" s="7"/>
      <c r="J79" s="7">
        <f t="shared" si="4"/>
        <v>0.27999999999999997</v>
      </c>
      <c r="K79" s="111"/>
      <c r="L79" s="111"/>
      <c r="M79" s="111"/>
      <c r="N79" s="111"/>
    </row>
    <row r="80" spans="1:14" x14ac:dyDescent="0.3">
      <c r="A80" s="106"/>
      <c r="B80" s="134" t="s">
        <v>1159</v>
      </c>
      <c r="C80" s="124" t="s">
        <v>0</v>
      </c>
      <c r="D80" s="5">
        <v>1</v>
      </c>
      <c r="E80" s="6">
        <f>0.17+0.41</f>
        <v>0.57999999999999996</v>
      </c>
      <c r="F80" s="6"/>
      <c r="G80" s="6">
        <v>2.8</v>
      </c>
      <c r="H80" s="5">
        <v>1</v>
      </c>
      <c r="I80" s="7"/>
      <c r="J80" s="7">
        <f t="shared" si="4"/>
        <v>1.6239999999999999</v>
      </c>
      <c r="K80" s="111"/>
      <c r="L80" s="111"/>
      <c r="M80" s="111"/>
      <c r="N80" s="111"/>
    </row>
    <row r="81" spans="1:14" x14ac:dyDescent="0.3">
      <c r="A81" s="106"/>
      <c r="B81" s="134"/>
      <c r="C81" s="124" t="s">
        <v>0</v>
      </c>
      <c r="D81" s="5">
        <v>1</v>
      </c>
      <c r="E81" s="6">
        <f>0.08+0.34</f>
        <v>0.42000000000000004</v>
      </c>
      <c r="F81" s="6"/>
      <c r="G81" s="6">
        <v>1</v>
      </c>
      <c r="H81" s="5">
        <v>1</v>
      </c>
      <c r="I81" s="7"/>
      <c r="J81" s="7">
        <f t="shared" si="4"/>
        <v>0.42000000000000004</v>
      </c>
      <c r="K81" s="111"/>
      <c r="L81" s="111"/>
      <c r="M81" s="111"/>
      <c r="N81" s="111"/>
    </row>
    <row r="82" spans="1:14" x14ac:dyDescent="0.3">
      <c r="A82" s="106"/>
      <c r="B82" s="134"/>
      <c r="C82" s="124" t="s">
        <v>0</v>
      </c>
      <c r="D82" s="5">
        <v>1</v>
      </c>
      <c r="E82" s="6">
        <f>0.1+0.1</f>
        <v>0.2</v>
      </c>
      <c r="F82" s="6"/>
      <c r="G82" s="6">
        <v>2.8</v>
      </c>
      <c r="H82" s="5">
        <v>1</v>
      </c>
      <c r="I82" s="7"/>
      <c r="J82" s="7">
        <f t="shared" si="4"/>
        <v>0.55999999999999994</v>
      </c>
      <c r="K82" s="111"/>
      <c r="L82" s="111"/>
      <c r="M82" s="111"/>
      <c r="N82" s="111"/>
    </row>
    <row r="83" spans="1:14" x14ac:dyDescent="0.3">
      <c r="A83" s="106"/>
      <c r="B83" s="134" t="s">
        <v>1162</v>
      </c>
      <c r="C83" s="124" t="s">
        <v>0</v>
      </c>
      <c r="D83" s="5">
        <v>1</v>
      </c>
      <c r="E83" s="6">
        <v>0.1</v>
      </c>
      <c r="F83" s="6"/>
      <c r="G83" s="6">
        <v>2.8</v>
      </c>
      <c r="H83" s="5">
        <v>1</v>
      </c>
      <c r="I83" s="7"/>
      <c r="J83" s="7">
        <f t="shared" si="4"/>
        <v>0.27999999999999997</v>
      </c>
      <c r="K83" s="111"/>
      <c r="L83" s="111"/>
      <c r="M83" s="111"/>
      <c r="N83" s="111"/>
    </row>
    <row r="84" spans="1:14" x14ac:dyDescent="0.3">
      <c r="A84" s="106"/>
      <c r="B84" s="134" t="s">
        <v>1161</v>
      </c>
      <c r="C84" s="124" t="s">
        <v>0</v>
      </c>
      <c r="D84" s="5">
        <v>1</v>
      </c>
      <c r="E84" s="6">
        <f>0.14+0.1</f>
        <v>0.24000000000000002</v>
      </c>
      <c r="F84" s="6"/>
      <c r="G84" s="6">
        <v>2.8</v>
      </c>
      <c r="H84" s="5">
        <v>1</v>
      </c>
      <c r="I84" s="7"/>
      <c r="J84" s="7">
        <f t="shared" si="4"/>
        <v>0.67200000000000004</v>
      </c>
      <c r="K84" s="111"/>
      <c r="L84" s="111"/>
      <c r="M84" s="111"/>
      <c r="N84" s="111"/>
    </row>
    <row r="85" spans="1:14" x14ac:dyDescent="0.3">
      <c r="A85" s="106"/>
      <c r="B85" s="117"/>
      <c r="C85" s="116"/>
      <c r="D85" s="109"/>
      <c r="E85" s="110"/>
      <c r="F85" s="110"/>
      <c r="G85" s="110"/>
      <c r="H85" s="112"/>
      <c r="I85" s="111"/>
      <c r="J85" s="111"/>
      <c r="K85" s="111"/>
      <c r="L85" s="111"/>
      <c r="M85" s="111"/>
      <c r="N85" s="111"/>
    </row>
    <row r="86" spans="1:14" x14ac:dyDescent="0.3">
      <c r="A86" s="99" t="s">
        <v>1183</v>
      </c>
      <c r="B86" s="226" t="s">
        <v>519</v>
      </c>
      <c r="C86" s="101"/>
      <c r="D86" s="1"/>
      <c r="E86" s="2"/>
      <c r="F86" s="2"/>
      <c r="G86" s="2"/>
      <c r="H86" s="102"/>
      <c r="I86" s="103"/>
      <c r="J86" s="103"/>
      <c r="K86" s="103"/>
      <c r="L86" s="103"/>
      <c r="M86" s="103"/>
      <c r="N86" s="103">
        <f>SUM(J86:J111)</f>
        <v>2.0954999999999999</v>
      </c>
    </row>
    <row r="87" spans="1:14" x14ac:dyDescent="0.3">
      <c r="A87" s="106"/>
      <c r="B87" s="137" t="s">
        <v>1137</v>
      </c>
      <c r="C87" s="132"/>
      <c r="D87" s="1"/>
      <c r="E87" s="2"/>
      <c r="F87" s="2"/>
      <c r="G87" s="206"/>
      <c r="H87" s="102"/>
      <c r="I87" s="103"/>
      <c r="J87" s="103"/>
      <c r="K87" s="113"/>
      <c r="L87" s="113"/>
      <c r="M87" s="113"/>
      <c r="N87" s="113"/>
    </row>
    <row r="88" spans="1:14" x14ac:dyDescent="0.3">
      <c r="A88" s="354"/>
      <c r="B88" s="115" t="s">
        <v>127</v>
      </c>
      <c r="C88" s="303"/>
      <c r="D88" s="304"/>
      <c r="E88" s="305"/>
      <c r="F88" s="306"/>
      <c r="G88" s="305"/>
      <c r="H88" s="304"/>
      <c r="I88" s="307"/>
      <c r="J88" s="307"/>
      <c r="K88" s="111"/>
      <c r="L88" s="111"/>
      <c r="M88" s="111"/>
      <c r="N88" s="111"/>
    </row>
    <row r="89" spans="1:14" x14ac:dyDescent="0.3">
      <c r="A89" s="354"/>
      <c r="B89" s="134" t="s">
        <v>1163</v>
      </c>
      <c r="C89" s="124" t="s">
        <v>0</v>
      </c>
      <c r="D89" s="5">
        <v>1</v>
      </c>
      <c r="E89" s="6">
        <v>0.7</v>
      </c>
      <c r="F89" s="6">
        <v>0.05</v>
      </c>
      <c r="G89" s="6"/>
      <c r="H89" s="5">
        <v>1</v>
      </c>
      <c r="I89" s="412"/>
      <c r="J89" s="7">
        <f t="shared" ref="J89:J99" si="5">((G89)+F89)*D89*E89*H89</f>
        <v>3.4999999999999996E-2</v>
      </c>
      <c r="K89" s="111"/>
      <c r="L89" s="111"/>
      <c r="M89" s="111"/>
      <c r="N89" s="111"/>
    </row>
    <row r="90" spans="1:14" x14ac:dyDescent="0.3">
      <c r="A90" s="354"/>
      <c r="B90" s="134" t="s">
        <v>1138</v>
      </c>
      <c r="C90" s="124" t="s">
        <v>0</v>
      </c>
      <c r="D90" s="5">
        <v>1</v>
      </c>
      <c r="E90" s="6">
        <v>1.35</v>
      </c>
      <c r="F90" s="6">
        <v>0.05</v>
      </c>
      <c r="G90" s="6"/>
      <c r="H90" s="5">
        <v>1</v>
      </c>
      <c r="I90" s="412"/>
      <c r="J90" s="7">
        <f t="shared" si="5"/>
        <v>6.7500000000000004E-2</v>
      </c>
      <c r="K90" s="111"/>
      <c r="L90" s="111"/>
      <c r="M90" s="111"/>
      <c r="N90" s="111"/>
    </row>
    <row r="91" spans="1:14" x14ac:dyDescent="0.3">
      <c r="A91" s="354"/>
      <c r="B91" s="134" t="s">
        <v>1164</v>
      </c>
      <c r="C91" s="124" t="s">
        <v>0</v>
      </c>
      <c r="D91" s="5">
        <v>1</v>
      </c>
      <c r="E91" s="6">
        <v>1.48</v>
      </c>
      <c r="F91" s="6">
        <v>0.05</v>
      </c>
      <c r="G91" s="6"/>
      <c r="H91" s="5">
        <v>1</v>
      </c>
      <c r="I91" s="412"/>
      <c r="J91" s="7">
        <f t="shared" si="5"/>
        <v>7.3999999999999996E-2</v>
      </c>
      <c r="K91" s="111"/>
      <c r="L91" s="111"/>
      <c r="M91" s="111"/>
      <c r="N91" s="111"/>
    </row>
    <row r="92" spans="1:14" x14ac:dyDescent="0.3">
      <c r="A92" s="354"/>
      <c r="B92" s="134" t="s">
        <v>1165</v>
      </c>
      <c r="C92" s="124" t="s">
        <v>0</v>
      </c>
      <c r="D92" s="5">
        <v>1</v>
      </c>
      <c r="E92" s="6">
        <v>1.79</v>
      </c>
      <c r="F92" s="6">
        <v>0.05</v>
      </c>
      <c r="G92" s="6"/>
      <c r="H92" s="5">
        <v>1</v>
      </c>
      <c r="I92" s="412"/>
      <c r="J92" s="7">
        <f t="shared" si="5"/>
        <v>8.950000000000001E-2</v>
      </c>
      <c r="K92" s="111"/>
      <c r="L92" s="111"/>
      <c r="M92" s="111"/>
      <c r="N92" s="111"/>
    </row>
    <row r="93" spans="1:14" x14ac:dyDescent="0.3">
      <c r="A93" s="354"/>
      <c r="B93" s="134" t="s">
        <v>1054</v>
      </c>
      <c r="C93" s="124" t="s">
        <v>0</v>
      </c>
      <c r="D93" s="5">
        <v>1</v>
      </c>
      <c r="E93" s="6">
        <v>1.47</v>
      </c>
      <c r="F93" s="6">
        <v>0.05</v>
      </c>
      <c r="G93" s="6"/>
      <c r="H93" s="5">
        <v>1</v>
      </c>
      <c r="I93" s="412"/>
      <c r="J93" s="7">
        <f t="shared" si="5"/>
        <v>7.3499999999999996E-2</v>
      </c>
      <c r="K93" s="111"/>
      <c r="L93" s="111"/>
      <c r="M93" s="111"/>
      <c r="N93" s="111"/>
    </row>
    <row r="94" spans="1:14" x14ac:dyDescent="0.3">
      <c r="A94" s="354"/>
      <c r="B94" s="134" t="s">
        <v>1149</v>
      </c>
      <c r="C94" s="124" t="s">
        <v>0</v>
      </c>
      <c r="D94" s="5">
        <v>1</v>
      </c>
      <c r="E94" s="6">
        <v>2.14</v>
      </c>
      <c r="F94" s="6">
        <v>0.2</v>
      </c>
      <c r="G94" s="6"/>
      <c r="H94" s="5">
        <v>1</v>
      </c>
      <c r="I94" s="412"/>
      <c r="J94" s="7">
        <f t="shared" si="5"/>
        <v>0.42800000000000005</v>
      </c>
      <c r="K94" s="111"/>
      <c r="L94" s="111"/>
      <c r="M94" s="111"/>
      <c r="N94" s="111"/>
    </row>
    <row r="95" spans="1:14" x14ac:dyDescent="0.3">
      <c r="A95" s="354"/>
      <c r="B95" s="134" t="s">
        <v>1141</v>
      </c>
      <c r="C95" s="124" t="s">
        <v>0</v>
      </c>
      <c r="D95" s="5">
        <v>1</v>
      </c>
      <c r="E95" s="6">
        <v>1.94</v>
      </c>
      <c r="F95" s="6">
        <v>0.05</v>
      </c>
      <c r="G95" s="6"/>
      <c r="H95" s="5">
        <v>1</v>
      </c>
      <c r="I95" s="412"/>
      <c r="J95" s="7">
        <f t="shared" si="5"/>
        <v>9.7000000000000003E-2</v>
      </c>
      <c r="K95" s="111"/>
      <c r="L95" s="111"/>
      <c r="M95" s="111"/>
      <c r="N95" s="111"/>
    </row>
    <row r="96" spans="1:14" x14ac:dyDescent="0.3">
      <c r="A96" s="354"/>
      <c r="B96" s="134" t="s">
        <v>1152</v>
      </c>
      <c r="C96" s="124" t="s">
        <v>0</v>
      </c>
      <c r="D96" s="5">
        <v>1</v>
      </c>
      <c r="E96" s="6">
        <f>0.85+1.27</f>
        <v>2.12</v>
      </c>
      <c r="F96" s="6">
        <v>0.05</v>
      </c>
      <c r="G96" s="6"/>
      <c r="H96" s="5">
        <v>1</v>
      </c>
      <c r="I96" s="412"/>
      <c r="J96" s="7">
        <f t="shared" si="5"/>
        <v>0.10600000000000001</v>
      </c>
      <c r="K96" s="111"/>
      <c r="L96" s="111"/>
      <c r="M96" s="111"/>
      <c r="N96" s="111"/>
    </row>
    <row r="97" spans="1:14" x14ac:dyDescent="0.3">
      <c r="A97" s="354"/>
      <c r="B97" s="134" t="s">
        <v>1150</v>
      </c>
      <c r="C97" s="124" t="s">
        <v>0</v>
      </c>
      <c r="D97" s="5">
        <v>1</v>
      </c>
      <c r="E97" s="6">
        <v>2.2000000000000002</v>
      </c>
      <c r="F97" s="6">
        <v>0.05</v>
      </c>
      <c r="G97" s="6"/>
      <c r="H97" s="5">
        <v>1</v>
      </c>
      <c r="I97" s="412"/>
      <c r="J97" s="7">
        <f t="shared" si="5"/>
        <v>0.11000000000000001</v>
      </c>
      <c r="K97" s="111"/>
      <c r="L97" s="111"/>
      <c r="M97" s="111"/>
      <c r="N97" s="111"/>
    </row>
    <row r="98" spans="1:14" x14ac:dyDescent="0.3">
      <c r="A98" s="354"/>
      <c r="B98" s="134" t="s">
        <v>1166</v>
      </c>
      <c r="C98" s="124" t="s">
        <v>0</v>
      </c>
      <c r="D98" s="5">
        <v>1</v>
      </c>
      <c r="E98" s="6">
        <f>0.69+0.26+0.9</f>
        <v>1.85</v>
      </c>
      <c r="F98" s="6">
        <v>0.05</v>
      </c>
      <c r="G98" s="6"/>
      <c r="H98" s="5">
        <v>1</v>
      </c>
      <c r="I98" s="412"/>
      <c r="J98" s="7">
        <f t="shared" si="5"/>
        <v>9.2500000000000013E-2</v>
      </c>
      <c r="K98" s="111"/>
      <c r="L98" s="111"/>
      <c r="M98" s="111"/>
      <c r="N98" s="111"/>
    </row>
    <row r="99" spans="1:14" x14ac:dyDescent="0.3">
      <c r="A99" s="354"/>
      <c r="B99" s="134" t="s">
        <v>1151</v>
      </c>
      <c r="C99" s="124" t="s">
        <v>0</v>
      </c>
      <c r="D99" s="5">
        <v>1</v>
      </c>
      <c r="E99" s="6">
        <v>2.2599999999999998</v>
      </c>
      <c r="F99" s="6">
        <v>0.05</v>
      </c>
      <c r="G99" s="6"/>
      <c r="H99" s="5">
        <v>1</v>
      </c>
      <c r="I99" s="412"/>
      <c r="J99" s="7">
        <f t="shared" si="5"/>
        <v>0.11299999999999999</v>
      </c>
      <c r="K99" s="111"/>
      <c r="L99" s="111"/>
      <c r="M99" s="111"/>
      <c r="N99" s="111"/>
    </row>
    <row r="100" spans="1:14" x14ac:dyDescent="0.3">
      <c r="A100" s="106"/>
      <c r="B100" s="410"/>
      <c r="C100" s="303"/>
      <c r="D100" s="411"/>
      <c r="E100" s="391"/>
      <c r="F100" s="391"/>
      <c r="G100" s="391"/>
      <c r="H100" s="304"/>
      <c r="I100" s="307"/>
      <c r="J100" s="307"/>
      <c r="K100" s="111"/>
      <c r="L100" s="111"/>
      <c r="M100" s="111"/>
      <c r="N100" s="111"/>
    </row>
    <row r="101" spans="1:14" x14ac:dyDescent="0.3">
      <c r="A101" s="106"/>
      <c r="B101" s="137" t="s">
        <v>1148</v>
      </c>
      <c r="C101" s="132"/>
      <c r="D101" s="1"/>
      <c r="E101" s="2"/>
      <c r="F101" s="2"/>
      <c r="G101" s="206"/>
      <c r="H101" s="102"/>
      <c r="I101" s="103"/>
      <c r="J101" s="103"/>
      <c r="K101" s="111"/>
      <c r="L101" s="111"/>
      <c r="M101" s="111"/>
      <c r="N101" s="111"/>
    </row>
    <row r="102" spans="1:14" x14ac:dyDescent="0.3">
      <c r="A102" s="106"/>
      <c r="B102" s="115" t="s">
        <v>127</v>
      </c>
      <c r="C102" s="303"/>
      <c r="D102" s="304"/>
      <c r="E102" s="305"/>
      <c r="F102" s="306"/>
      <c r="G102" s="305"/>
      <c r="H102" s="304"/>
      <c r="I102" s="307"/>
      <c r="J102" s="307"/>
      <c r="K102" s="111"/>
      <c r="L102" s="111"/>
      <c r="M102" s="111"/>
      <c r="N102" s="111"/>
    </row>
    <row r="103" spans="1:14" x14ac:dyDescent="0.3">
      <c r="A103" s="354"/>
      <c r="B103" s="134" t="s">
        <v>1054</v>
      </c>
      <c r="C103" s="124" t="s">
        <v>0</v>
      </c>
      <c r="D103" s="5">
        <v>1</v>
      </c>
      <c r="E103" s="6">
        <v>1.8</v>
      </c>
      <c r="F103" s="6">
        <v>0.05</v>
      </c>
      <c r="G103" s="6"/>
      <c r="H103" s="5">
        <v>1</v>
      </c>
      <c r="I103" s="412"/>
      <c r="J103" s="7">
        <f t="shared" ref="J103:J110" si="6">((G103)+F103)*D103*E103*H103</f>
        <v>9.0000000000000011E-2</v>
      </c>
      <c r="K103" s="111"/>
      <c r="L103" s="111"/>
      <c r="M103" s="111"/>
      <c r="N103" s="111"/>
    </row>
    <row r="104" spans="1:14" x14ac:dyDescent="0.3">
      <c r="A104" s="354"/>
      <c r="B104" s="134" t="s">
        <v>1055</v>
      </c>
      <c r="C104" s="124" t="s">
        <v>0</v>
      </c>
      <c r="D104" s="5">
        <v>1</v>
      </c>
      <c r="E104" s="6">
        <v>1.05</v>
      </c>
      <c r="F104" s="6">
        <v>0.05</v>
      </c>
      <c r="G104" s="6"/>
      <c r="H104" s="5">
        <v>1</v>
      </c>
      <c r="I104" s="412"/>
      <c r="J104" s="7">
        <f t="shared" si="6"/>
        <v>5.2500000000000005E-2</v>
      </c>
      <c r="K104" s="111"/>
      <c r="L104" s="111"/>
      <c r="M104" s="111"/>
      <c r="N104" s="111"/>
    </row>
    <row r="105" spans="1:14" x14ac:dyDescent="0.3">
      <c r="A105" s="354"/>
      <c r="B105" s="134" t="s">
        <v>1149</v>
      </c>
      <c r="C105" s="124" t="s">
        <v>0</v>
      </c>
      <c r="D105" s="5">
        <v>1</v>
      </c>
      <c r="E105" s="6">
        <v>2.14</v>
      </c>
      <c r="F105" s="6">
        <v>0.1</v>
      </c>
      <c r="G105" s="6"/>
      <c r="H105" s="5">
        <v>1</v>
      </c>
      <c r="I105" s="412"/>
      <c r="J105" s="7">
        <f t="shared" si="6"/>
        <v>0.21400000000000002</v>
      </c>
      <c r="K105" s="111"/>
      <c r="L105" s="111"/>
      <c r="M105" s="111"/>
      <c r="N105" s="111"/>
    </row>
    <row r="106" spans="1:14" x14ac:dyDescent="0.3">
      <c r="A106" s="354"/>
      <c r="B106" s="134" t="s">
        <v>1141</v>
      </c>
      <c r="C106" s="124" t="s">
        <v>0</v>
      </c>
      <c r="D106" s="5">
        <v>1</v>
      </c>
      <c r="E106" s="6">
        <v>0.9</v>
      </c>
      <c r="F106" s="6">
        <v>0.05</v>
      </c>
      <c r="G106" s="6"/>
      <c r="H106" s="5">
        <v>1</v>
      </c>
      <c r="I106" s="412"/>
      <c r="J106" s="7">
        <f t="shared" si="6"/>
        <v>4.5000000000000005E-2</v>
      </c>
      <c r="K106" s="111"/>
      <c r="L106" s="111"/>
      <c r="M106" s="111"/>
      <c r="N106" s="111"/>
    </row>
    <row r="107" spans="1:14" x14ac:dyDescent="0.3">
      <c r="A107" s="354"/>
      <c r="B107" s="134" t="s">
        <v>1150</v>
      </c>
      <c r="C107" s="124" t="s">
        <v>0</v>
      </c>
      <c r="D107" s="5">
        <v>1</v>
      </c>
      <c r="E107" s="6">
        <v>2.2999999999999998</v>
      </c>
      <c r="F107" s="6">
        <v>0.05</v>
      </c>
      <c r="G107" s="6"/>
      <c r="H107" s="5">
        <v>1</v>
      </c>
      <c r="I107" s="412"/>
      <c r="J107" s="7">
        <f t="shared" si="6"/>
        <v>0.11499999999999999</v>
      </c>
      <c r="K107" s="111"/>
      <c r="L107" s="111"/>
      <c r="M107" s="111"/>
      <c r="N107" s="111"/>
    </row>
    <row r="108" spans="1:14" x14ac:dyDescent="0.3">
      <c r="A108" s="354"/>
      <c r="B108" s="134" t="s">
        <v>1151</v>
      </c>
      <c r="C108" s="124" t="s">
        <v>0</v>
      </c>
      <c r="D108" s="5">
        <v>1</v>
      </c>
      <c r="E108" s="6">
        <v>1.58</v>
      </c>
      <c r="F108" s="6">
        <v>0.05</v>
      </c>
      <c r="G108" s="6"/>
      <c r="H108" s="5">
        <v>1</v>
      </c>
      <c r="I108" s="412"/>
      <c r="J108" s="7">
        <f t="shared" si="6"/>
        <v>7.9000000000000015E-2</v>
      </c>
      <c r="K108" s="111"/>
      <c r="L108" s="111"/>
      <c r="M108" s="111"/>
      <c r="N108" s="111"/>
    </row>
    <row r="109" spans="1:14" x14ac:dyDescent="0.3">
      <c r="A109" s="354"/>
      <c r="B109" s="134" t="s">
        <v>1152</v>
      </c>
      <c r="C109" s="124" t="s">
        <v>0</v>
      </c>
      <c r="D109" s="5">
        <v>1</v>
      </c>
      <c r="E109" s="6">
        <v>1.74</v>
      </c>
      <c r="F109" s="6">
        <v>0.1</v>
      </c>
      <c r="G109" s="6"/>
      <c r="H109" s="5">
        <v>1</v>
      </c>
      <c r="I109" s="412"/>
      <c r="J109" s="7">
        <f t="shared" si="6"/>
        <v>0.17400000000000002</v>
      </c>
      <c r="K109" s="111"/>
      <c r="L109" s="111"/>
      <c r="M109" s="111"/>
      <c r="N109" s="111"/>
    </row>
    <row r="110" spans="1:14" x14ac:dyDescent="0.3">
      <c r="A110" s="354"/>
      <c r="B110" s="134" t="s">
        <v>1153</v>
      </c>
      <c r="C110" s="124" t="s">
        <v>0</v>
      </c>
      <c r="D110" s="5">
        <v>1</v>
      </c>
      <c r="E110" s="6">
        <v>0.8</v>
      </c>
      <c r="F110" s="6">
        <v>0.05</v>
      </c>
      <c r="G110" s="6"/>
      <c r="H110" s="5">
        <v>1</v>
      </c>
      <c r="I110" s="412"/>
      <c r="J110" s="7">
        <f t="shared" si="6"/>
        <v>4.0000000000000008E-2</v>
      </c>
      <c r="K110" s="111"/>
      <c r="L110" s="111"/>
      <c r="M110" s="111"/>
      <c r="N110" s="111"/>
    </row>
    <row r="111" spans="1:14" x14ac:dyDescent="0.3">
      <c r="A111" s="354"/>
      <c r="B111" s="117"/>
      <c r="C111" s="116"/>
      <c r="D111" s="109"/>
      <c r="E111" s="110"/>
      <c r="F111" s="110"/>
      <c r="G111" s="110"/>
      <c r="H111" s="112"/>
      <c r="I111" s="111"/>
      <c r="J111" s="111"/>
      <c r="K111" s="111"/>
      <c r="L111" s="111"/>
      <c r="M111" s="111"/>
      <c r="N111" s="111"/>
    </row>
    <row r="112" spans="1:14" x14ac:dyDescent="0.3">
      <c r="A112" s="99" t="s">
        <v>1184</v>
      </c>
      <c r="B112" s="100" t="s">
        <v>420</v>
      </c>
      <c r="C112" s="101" t="s">
        <v>126</v>
      </c>
      <c r="D112" s="3"/>
      <c r="E112" s="122"/>
      <c r="F112" s="122"/>
      <c r="G112" s="122"/>
      <c r="H112" s="3"/>
      <c r="I112" s="122"/>
      <c r="J112" s="122"/>
      <c r="K112" s="113"/>
      <c r="L112" s="113"/>
      <c r="M112" s="113"/>
      <c r="N112" s="113">
        <f>SUM(J112:J134)</f>
        <v>12.089999999999998</v>
      </c>
    </row>
    <row r="113" spans="1:14" x14ac:dyDescent="0.3">
      <c r="A113" s="106"/>
      <c r="B113" s="137" t="s">
        <v>1137</v>
      </c>
      <c r="C113" s="132"/>
      <c r="D113" s="1"/>
      <c r="E113" s="2"/>
      <c r="F113" s="2"/>
      <c r="G113" s="206"/>
      <c r="H113" s="102"/>
      <c r="I113" s="103"/>
      <c r="J113" s="103"/>
      <c r="K113" s="113"/>
      <c r="L113" s="113"/>
      <c r="M113" s="113"/>
      <c r="N113" s="113"/>
    </row>
    <row r="114" spans="1:14" x14ac:dyDescent="0.3">
      <c r="A114" s="354"/>
      <c r="B114" s="115" t="s">
        <v>127</v>
      </c>
      <c r="C114" s="303"/>
      <c r="D114" s="304"/>
      <c r="E114" s="305"/>
      <c r="F114" s="306"/>
      <c r="G114" s="305"/>
      <c r="H114" s="304"/>
      <c r="I114" s="307"/>
      <c r="J114" s="307"/>
      <c r="K114" s="111"/>
      <c r="L114" s="111"/>
      <c r="M114" s="111"/>
      <c r="N114" s="111"/>
    </row>
    <row r="115" spans="1:14" x14ac:dyDescent="0.3">
      <c r="A115" s="106"/>
      <c r="B115" s="353" t="s">
        <v>129</v>
      </c>
      <c r="C115" s="132"/>
      <c r="D115" s="136"/>
      <c r="E115" s="110"/>
      <c r="F115" s="2"/>
      <c r="G115" s="302"/>
      <c r="H115" s="112"/>
      <c r="I115" s="113"/>
      <c r="J115" s="113"/>
      <c r="K115" s="113"/>
      <c r="L115" s="113"/>
      <c r="M115" s="111"/>
      <c r="N115" s="413"/>
    </row>
    <row r="116" spans="1:14" x14ac:dyDescent="0.3">
      <c r="A116" s="106"/>
      <c r="B116" s="134" t="s">
        <v>130</v>
      </c>
      <c r="C116" s="135" t="s">
        <v>0</v>
      </c>
      <c r="D116" s="5">
        <v>1</v>
      </c>
      <c r="E116" s="6">
        <v>0.15</v>
      </c>
      <c r="F116" s="6">
        <v>0.8</v>
      </c>
      <c r="G116" s="6">
        <v>2.8</v>
      </c>
      <c r="H116" s="125">
        <v>1</v>
      </c>
      <c r="I116" s="7"/>
      <c r="J116" s="7">
        <f>((F116+G116)*2)*D116*E116*H116</f>
        <v>1.0799999999999998</v>
      </c>
      <c r="K116" s="113"/>
      <c r="L116" s="113"/>
      <c r="M116" s="111"/>
      <c r="N116" s="413"/>
    </row>
    <row r="117" spans="1:14" x14ac:dyDescent="0.3">
      <c r="A117" s="106"/>
      <c r="B117" s="134" t="s">
        <v>132</v>
      </c>
      <c r="C117" s="135" t="s">
        <v>0</v>
      </c>
      <c r="D117" s="5">
        <v>1</v>
      </c>
      <c r="E117" s="6">
        <v>0.15</v>
      </c>
      <c r="F117" s="6">
        <v>0.7</v>
      </c>
      <c r="G117" s="6">
        <v>2.8</v>
      </c>
      <c r="H117" s="125">
        <v>1</v>
      </c>
      <c r="I117" s="7"/>
      <c r="J117" s="7">
        <f>((F117+G117)*2)*D117*E117*H117</f>
        <v>1.05</v>
      </c>
      <c r="K117" s="113"/>
      <c r="L117" s="113"/>
      <c r="M117" s="111"/>
      <c r="N117" s="413"/>
    </row>
    <row r="118" spans="1:14" x14ac:dyDescent="0.3">
      <c r="A118" s="106"/>
      <c r="B118" s="134" t="s">
        <v>133</v>
      </c>
      <c r="C118" s="135" t="s">
        <v>0</v>
      </c>
      <c r="D118" s="5">
        <v>1</v>
      </c>
      <c r="E118" s="6">
        <v>0.15</v>
      </c>
      <c r="F118" s="6">
        <v>0.7</v>
      </c>
      <c r="G118" s="6">
        <v>2.8</v>
      </c>
      <c r="H118" s="125">
        <v>1</v>
      </c>
      <c r="I118" s="7"/>
      <c r="J118" s="7">
        <f>((F118+G118)*2)*D118*E118*H118</f>
        <v>1.05</v>
      </c>
      <c r="K118" s="113"/>
      <c r="L118" s="113"/>
      <c r="M118" s="111"/>
      <c r="N118" s="413"/>
    </row>
    <row r="119" spans="1:14" x14ac:dyDescent="0.3">
      <c r="A119" s="106"/>
      <c r="B119" s="353" t="s">
        <v>124</v>
      </c>
      <c r="C119" s="132"/>
      <c r="D119" s="136"/>
      <c r="E119" s="110"/>
      <c r="F119" s="2"/>
      <c r="G119" s="302"/>
      <c r="H119" s="112"/>
      <c r="I119" s="113"/>
      <c r="J119" s="113"/>
      <c r="K119" s="113"/>
      <c r="L119" s="113"/>
      <c r="M119" s="111"/>
      <c r="N119" s="413"/>
    </row>
    <row r="120" spans="1:14" x14ac:dyDescent="0.3">
      <c r="A120" s="106"/>
      <c r="B120" s="134" t="s">
        <v>1167</v>
      </c>
      <c r="C120" s="124" t="s">
        <v>0</v>
      </c>
      <c r="D120" s="5">
        <v>1</v>
      </c>
      <c r="E120" s="6">
        <v>0.15</v>
      </c>
      <c r="F120" s="6">
        <v>1.2</v>
      </c>
      <c r="G120" s="6">
        <v>1.6</v>
      </c>
      <c r="H120" s="5">
        <v>1</v>
      </c>
      <c r="I120" s="7"/>
      <c r="J120" s="7">
        <f>((F120+G120)*2)*D120*E120*H120</f>
        <v>0.84</v>
      </c>
      <c r="K120" s="113"/>
      <c r="L120" s="113"/>
      <c r="M120" s="111"/>
      <c r="N120" s="413"/>
    </row>
    <row r="121" spans="1:14" x14ac:dyDescent="0.3">
      <c r="A121" s="106"/>
      <c r="B121" s="134" t="s">
        <v>1168</v>
      </c>
      <c r="C121" s="124" t="s">
        <v>0</v>
      </c>
      <c r="D121" s="5">
        <v>1</v>
      </c>
      <c r="E121" s="6">
        <v>0.15</v>
      </c>
      <c r="F121" s="6">
        <v>0.9</v>
      </c>
      <c r="G121" s="6">
        <v>1.6</v>
      </c>
      <c r="H121" s="5">
        <v>1</v>
      </c>
      <c r="I121" s="7"/>
      <c r="J121" s="7">
        <f>((F121+G121)*2)*D121*E121*H121</f>
        <v>0.75</v>
      </c>
      <c r="K121" s="113"/>
      <c r="L121" s="113"/>
      <c r="M121" s="111"/>
      <c r="N121" s="413"/>
    </row>
    <row r="122" spans="1:14" x14ac:dyDescent="0.3">
      <c r="A122" s="106"/>
      <c r="B122" s="134" t="s">
        <v>1169</v>
      </c>
      <c r="C122" s="124" t="s">
        <v>0</v>
      </c>
      <c r="D122" s="5">
        <v>1</v>
      </c>
      <c r="E122" s="6">
        <v>0.15</v>
      </c>
      <c r="F122" s="6">
        <v>0.9</v>
      </c>
      <c r="G122" s="6">
        <v>1.6</v>
      </c>
      <c r="H122" s="5">
        <v>1</v>
      </c>
      <c r="I122" s="7"/>
      <c r="J122" s="7">
        <f>((F122+G122)*2)*D122*E122*H122</f>
        <v>0.75</v>
      </c>
      <c r="K122" s="113"/>
      <c r="L122" s="113"/>
      <c r="M122" s="111"/>
      <c r="N122" s="413"/>
    </row>
    <row r="123" spans="1:14" x14ac:dyDescent="0.3">
      <c r="A123" s="106"/>
      <c r="B123" s="134" t="s">
        <v>1170</v>
      </c>
      <c r="C123" s="124" t="s">
        <v>0</v>
      </c>
      <c r="D123" s="5">
        <v>2</v>
      </c>
      <c r="E123" s="6">
        <v>0.15</v>
      </c>
      <c r="F123" s="6">
        <v>0.6</v>
      </c>
      <c r="G123" s="6">
        <v>0.6</v>
      </c>
      <c r="H123" s="5">
        <v>1</v>
      </c>
      <c r="I123" s="7"/>
      <c r="J123" s="7">
        <f>((F123+G123)*2)*D123*E123*H123</f>
        <v>0.72</v>
      </c>
      <c r="K123" s="113"/>
      <c r="L123" s="113"/>
      <c r="M123" s="111"/>
      <c r="N123" s="413"/>
    </row>
    <row r="124" spans="1:14" x14ac:dyDescent="0.3">
      <c r="A124" s="106"/>
      <c r="B124" s="353"/>
      <c r="C124" s="132"/>
      <c r="D124" s="136"/>
      <c r="E124" s="110"/>
      <c r="F124" s="2"/>
      <c r="G124" s="302"/>
      <c r="H124" s="112"/>
      <c r="I124" s="113"/>
      <c r="J124" s="113"/>
      <c r="K124" s="113"/>
      <c r="L124" s="113"/>
      <c r="M124" s="111"/>
      <c r="N124" s="413"/>
    </row>
    <row r="125" spans="1:14" x14ac:dyDescent="0.3">
      <c r="A125" s="106"/>
      <c r="B125" s="137" t="s">
        <v>1171</v>
      </c>
      <c r="C125" s="108"/>
      <c r="D125" s="136"/>
      <c r="E125" s="110"/>
      <c r="F125" s="2"/>
      <c r="G125" s="302"/>
      <c r="H125" s="112"/>
      <c r="I125" s="113"/>
      <c r="J125" s="405"/>
      <c r="K125" s="113"/>
      <c r="L125" s="113"/>
      <c r="M125" s="111"/>
      <c r="N125" s="413"/>
    </row>
    <row r="126" spans="1:14" x14ac:dyDescent="0.3">
      <c r="A126" s="354"/>
      <c r="B126" s="115" t="s">
        <v>127</v>
      </c>
      <c r="C126" s="303"/>
      <c r="D126" s="304"/>
      <c r="E126" s="305"/>
      <c r="F126" s="306"/>
      <c r="G126" s="305"/>
      <c r="H126" s="304"/>
      <c r="I126" s="307"/>
      <c r="J126" s="307"/>
      <c r="K126" s="111"/>
      <c r="L126" s="111"/>
      <c r="M126" s="111"/>
      <c r="N126" s="111"/>
    </row>
    <row r="127" spans="1:14" x14ac:dyDescent="0.3">
      <c r="A127" s="106"/>
      <c r="B127" s="353" t="s">
        <v>129</v>
      </c>
      <c r="C127" s="132"/>
      <c r="D127" s="136"/>
      <c r="E127" s="110"/>
      <c r="F127" s="2"/>
      <c r="G127" s="302"/>
      <c r="H127" s="112"/>
      <c r="I127" s="113"/>
      <c r="J127" s="307"/>
      <c r="K127" s="113"/>
      <c r="L127" s="113"/>
      <c r="M127" s="111"/>
      <c r="N127" s="413"/>
    </row>
    <row r="128" spans="1:14" x14ac:dyDescent="0.3">
      <c r="A128" s="284"/>
      <c r="B128" s="134" t="s">
        <v>130</v>
      </c>
      <c r="C128" s="135" t="s">
        <v>0</v>
      </c>
      <c r="D128" s="5">
        <v>2</v>
      </c>
      <c r="E128" s="6">
        <v>0.15</v>
      </c>
      <c r="F128" s="6">
        <v>0.8</v>
      </c>
      <c r="G128" s="6">
        <v>2.8</v>
      </c>
      <c r="H128" s="125">
        <v>1</v>
      </c>
      <c r="I128" s="7"/>
      <c r="J128" s="7">
        <f>((F128+G128)*2)*D128*E128*H128</f>
        <v>2.1599999999999997</v>
      </c>
      <c r="K128" s="113"/>
      <c r="L128" s="113"/>
      <c r="M128" s="111"/>
      <c r="N128" s="413"/>
    </row>
    <row r="129" spans="1:14" x14ac:dyDescent="0.3">
      <c r="A129" s="284"/>
      <c r="B129" s="134" t="s">
        <v>133</v>
      </c>
      <c r="C129" s="135" t="s">
        <v>0</v>
      </c>
      <c r="D129" s="5">
        <v>1</v>
      </c>
      <c r="E129" s="6">
        <v>0.15</v>
      </c>
      <c r="F129" s="6">
        <v>0.7</v>
      </c>
      <c r="G129" s="6">
        <v>2.8</v>
      </c>
      <c r="H129" s="125">
        <v>1</v>
      </c>
      <c r="I129" s="7"/>
      <c r="J129" s="7">
        <f>((F129+G129)*2)*D129*E129*H129</f>
        <v>1.05</v>
      </c>
      <c r="K129" s="113"/>
      <c r="L129" s="113"/>
      <c r="M129" s="111"/>
      <c r="N129" s="413"/>
    </row>
    <row r="130" spans="1:14" x14ac:dyDescent="0.3">
      <c r="A130" s="106"/>
      <c r="B130" s="353" t="s">
        <v>124</v>
      </c>
      <c r="C130" s="108"/>
      <c r="D130" s="112"/>
      <c r="E130" s="330"/>
      <c r="F130" s="414"/>
      <c r="G130" s="415"/>
      <c r="H130" s="416"/>
      <c r="I130" s="405"/>
      <c r="J130" s="307"/>
      <c r="K130" s="113"/>
      <c r="L130" s="113"/>
      <c r="M130" s="111"/>
      <c r="N130" s="413"/>
    </row>
    <row r="131" spans="1:14" x14ac:dyDescent="0.3">
      <c r="A131" s="284"/>
      <c r="B131" s="134" t="s">
        <v>1172</v>
      </c>
      <c r="C131" s="124" t="s">
        <v>0</v>
      </c>
      <c r="D131" s="5">
        <v>1</v>
      </c>
      <c r="E131" s="6">
        <v>0.15</v>
      </c>
      <c r="F131" s="6">
        <v>1</v>
      </c>
      <c r="G131" s="6">
        <v>1.6</v>
      </c>
      <c r="H131" s="5">
        <v>1</v>
      </c>
      <c r="I131" s="7"/>
      <c r="J131" s="7">
        <f>((F131+G131)*2)*D131*E131*H131</f>
        <v>0.78</v>
      </c>
      <c r="K131" s="113"/>
      <c r="L131" s="113"/>
      <c r="M131" s="111"/>
      <c r="N131" s="413"/>
    </row>
    <row r="132" spans="1:14" x14ac:dyDescent="0.3">
      <c r="A132" s="284"/>
      <c r="B132" s="134" t="s">
        <v>1170</v>
      </c>
      <c r="C132" s="124" t="s">
        <v>0</v>
      </c>
      <c r="D132" s="5">
        <v>2</v>
      </c>
      <c r="E132" s="6">
        <v>0.15</v>
      </c>
      <c r="F132" s="6">
        <v>0.9</v>
      </c>
      <c r="G132" s="6">
        <v>1.6</v>
      </c>
      <c r="H132" s="5">
        <v>1</v>
      </c>
      <c r="I132" s="7"/>
      <c r="J132" s="7">
        <f>((F132+G132)*2)*D132*E132*H132</f>
        <v>1.5</v>
      </c>
      <c r="K132" s="113"/>
      <c r="L132" s="113"/>
      <c r="M132" s="111"/>
      <c r="N132" s="413"/>
    </row>
    <row r="133" spans="1:14" x14ac:dyDescent="0.3">
      <c r="A133" s="284"/>
      <c r="B133" s="134" t="s">
        <v>1173</v>
      </c>
      <c r="C133" s="124" t="s">
        <v>0</v>
      </c>
      <c r="D133" s="5">
        <v>1</v>
      </c>
      <c r="E133" s="6">
        <v>0.15</v>
      </c>
      <c r="F133" s="6">
        <v>0.6</v>
      </c>
      <c r="G133" s="6">
        <v>0.6</v>
      </c>
      <c r="H133" s="5">
        <v>1</v>
      </c>
      <c r="I133" s="7"/>
      <c r="J133" s="7">
        <f>((F133+G133)*2)*D133*E133*H133</f>
        <v>0.36</v>
      </c>
      <c r="K133" s="113"/>
      <c r="L133" s="113"/>
      <c r="M133" s="111"/>
      <c r="N133" s="413"/>
    </row>
    <row r="134" spans="1:14" x14ac:dyDescent="0.3">
      <c r="A134" s="114"/>
      <c r="B134" s="390"/>
      <c r="C134" s="116"/>
      <c r="D134" s="109"/>
      <c r="E134" s="391"/>
      <c r="F134" s="110"/>
      <c r="G134" s="305"/>
      <c r="H134" s="112"/>
      <c r="I134" s="111"/>
      <c r="J134" s="392"/>
      <c r="K134" s="111"/>
      <c r="L134" s="111"/>
      <c r="M134" s="111"/>
      <c r="N134" s="111"/>
    </row>
    <row r="135" spans="1:14" x14ac:dyDescent="0.3">
      <c r="A135" s="99" t="s">
        <v>1185</v>
      </c>
      <c r="B135" s="100" t="s">
        <v>159</v>
      </c>
      <c r="C135" s="101" t="s">
        <v>0</v>
      </c>
      <c r="D135" s="1"/>
      <c r="E135" s="2"/>
      <c r="F135" s="2"/>
      <c r="G135" s="2"/>
      <c r="H135" s="102"/>
      <c r="I135" s="103"/>
      <c r="J135" s="103"/>
      <c r="K135" s="103"/>
      <c r="L135" s="103"/>
      <c r="M135" s="103"/>
      <c r="N135" s="103">
        <f>SUM(J135:J147)</f>
        <v>24.4</v>
      </c>
    </row>
    <row r="136" spans="1:14" x14ac:dyDescent="0.3">
      <c r="A136" s="106"/>
      <c r="B136" s="120" t="s">
        <v>127</v>
      </c>
      <c r="C136" s="121"/>
      <c r="D136" s="3"/>
      <c r="E136" s="122"/>
      <c r="F136" s="122"/>
      <c r="G136" s="122"/>
      <c r="H136" s="119"/>
      <c r="I136" s="113"/>
      <c r="J136" s="113"/>
      <c r="K136" s="113"/>
      <c r="L136" s="113"/>
      <c r="M136" s="113"/>
      <c r="N136" s="113"/>
    </row>
    <row r="137" spans="1:14" x14ac:dyDescent="0.3">
      <c r="A137" s="114"/>
      <c r="B137" s="353" t="s">
        <v>1174</v>
      </c>
      <c r="C137" s="108"/>
      <c r="D137" s="112"/>
      <c r="E137" s="110"/>
      <c r="F137" s="110"/>
      <c r="G137" s="110"/>
      <c r="H137" s="109"/>
      <c r="I137" s="111"/>
      <c r="J137" s="111"/>
      <c r="K137" s="111"/>
      <c r="L137" s="111"/>
      <c r="M137" s="111"/>
      <c r="N137" s="111"/>
    </row>
    <row r="138" spans="1:14" x14ac:dyDescent="0.3">
      <c r="A138" s="114"/>
      <c r="B138" s="4" t="s">
        <v>1175</v>
      </c>
      <c r="C138" s="124" t="s">
        <v>0</v>
      </c>
      <c r="D138" s="5">
        <v>1</v>
      </c>
      <c r="E138" s="6" t="s">
        <v>156</v>
      </c>
      <c r="F138" s="6">
        <v>7.75</v>
      </c>
      <c r="G138" s="6"/>
      <c r="H138" s="125">
        <v>1</v>
      </c>
      <c r="I138" s="7"/>
      <c r="J138" s="7">
        <f>IF(D138="","",PRODUCT(D138:H138))</f>
        <v>7.75</v>
      </c>
      <c r="K138" s="111"/>
      <c r="L138" s="111"/>
      <c r="M138" s="111"/>
      <c r="N138" s="111"/>
    </row>
    <row r="139" spans="1:14" x14ac:dyDescent="0.3">
      <c r="A139" s="114"/>
      <c r="B139" s="4" t="s">
        <v>195</v>
      </c>
      <c r="C139" s="124" t="s">
        <v>0</v>
      </c>
      <c r="D139" s="5">
        <v>1</v>
      </c>
      <c r="E139" s="6" t="s">
        <v>156</v>
      </c>
      <c r="F139" s="6">
        <v>1.83</v>
      </c>
      <c r="G139" s="6"/>
      <c r="H139" s="125">
        <v>1</v>
      </c>
      <c r="I139" s="7"/>
      <c r="J139" s="7">
        <f>IF(D139="","",PRODUCT(D139:H139))</f>
        <v>1.83</v>
      </c>
      <c r="K139" s="111"/>
      <c r="L139" s="111"/>
      <c r="M139" s="111"/>
      <c r="N139" s="111"/>
    </row>
    <row r="140" spans="1:14" x14ac:dyDescent="0.3">
      <c r="A140" s="114"/>
      <c r="B140" s="4" t="s">
        <v>1176</v>
      </c>
      <c r="C140" s="124" t="s">
        <v>0</v>
      </c>
      <c r="D140" s="5">
        <v>1</v>
      </c>
      <c r="E140" s="6" t="s">
        <v>156</v>
      </c>
      <c r="F140" s="6">
        <f>14.66-11.95</f>
        <v>2.7100000000000009</v>
      </c>
      <c r="G140" s="6"/>
      <c r="H140" s="125">
        <v>1</v>
      </c>
      <c r="I140" s="7"/>
      <c r="J140" s="7">
        <f>IF(D140="","",PRODUCT(D140:H140))</f>
        <v>2.7100000000000009</v>
      </c>
      <c r="K140" s="111"/>
      <c r="L140" s="111"/>
      <c r="M140" s="111"/>
      <c r="N140" s="111"/>
    </row>
    <row r="141" spans="1:14" x14ac:dyDescent="0.3">
      <c r="A141" s="114"/>
      <c r="B141" s="4"/>
      <c r="C141" s="124" t="s">
        <v>0</v>
      </c>
      <c r="D141" s="5">
        <v>1</v>
      </c>
      <c r="E141" s="6" t="s">
        <v>156</v>
      </c>
      <c r="F141" s="6">
        <f>4.09-3</f>
        <v>1.0899999999999999</v>
      </c>
      <c r="G141" s="6"/>
      <c r="H141" s="125">
        <v>1</v>
      </c>
      <c r="I141" s="7"/>
      <c r="J141" s="7">
        <f>IF(D141="","",PRODUCT(D141:H141))</f>
        <v>1.0899999999999999</v>
      </c>
      <c r="K141" s="111"/>
      <c r="L141" s="111"/>
      <c r="M141" s="111"/>
      <c r="N141" s="111"/>
    </row>
    <row r="142" spans="1:14" x14ac:dyDescent="0.3">
      <c r="A142" s="114"/>
      <c r="B142" s="353" t="s">
        <v>1171</v>
      </c>
      <c r="C142" s="108"/>
      <c r="D142" s="112"/>
      <c r="E142" s="110"/>
      <c r="F142" s="110"/>
      <c r="G142" s="110"/>
      <c r="H142" s="109"/>
      <c r="I142" s="111"/>
      <c r="J142" s="111"/>
      <c r="K142" s="111"/>
      <c r="L142" s="111"/>
      <c r="M142" s="111"/>
      <c r="N142" s="111"/>
    </row>
    <row r="143" spans="1:14" x14ac:dyDescent="0.3">
      <c r="A143" s="114"/>
      <c r="B143" s="4" t="s">
        <v>1175</v>
      </c>
      <c r="C143" s="124" t="s">
        <v>0</v>
      </c>
      <c r="D143" s="5">
        <v>1</v>
      </c>
      <c r="E143" s="6" t="s">
        <v>156</v>
      </c>
      <c r="F143" s="6">
        <v>4.55</v>
      </c>
      <c r="G143" s="6"/>
      <c r="H143" s="125">
        <v>1</v>
      </c>
      <c r="I143" s="7"/>
      <c r="J143" s="7">
        <f>IF(D143="","",PRODUCT(D143:H143))</f>
        <v>4.55</v>
      </c>
      <c r="K143" s="111"/>
      <c r="L143" s="111"/>
      <c r="M143" s="111"/>
      <c r="N143" s="111"/>
    </row>
    <row r="144" spans="1:14" x14ac:dyDescent="0.3">
      <c r="A144" s="114"/>
      <c r="B144" s="4" t="s">
        <v>1177</v>
      </c>
      <c r="C144" s="124" t="s">
        <v>0</v>
      </c>
      <c r="D144" s="5">
        <v>1</v>
      </c>
      <c r="E144" s="6" t="s">
        <v>156</v>
      </c>
      <c r="F144" s="6">
        <v>2.39</v>
      </c>
      <c r="G144" s="6"/>
      <c r="H144" s="125">
        <v>1</v>
      </c>
      <c r="I144" s="7"/>
      <c r="J144" s="7">
        <f>IF(D144="","",PRODUCT(D144:H144))</f>
        <v>2.39</v>
      </c>
      <c r="K144" s="111"/>
      <c r="L144" s="111"/>
      <c r="M144" s="111"/>
      <c r="N144" s="111"/>
    </row>
    <row r="145" spans="1:14" x14ac:dyDescent="0.3">
      <c r="A145" s="114"/>
      <c r="B145" s="4" t="s">
        <v>195</v>
      </c>
      <c r="C145" s="124" t="s">
        <v>0</v>
      </c>
      <c r="D145" s="5">
        <v>1</v>
      </c>
      <c r="E145" s="6" t="s">
        <v>156</v>
      </c>
      <c r="F145" s="6">
        <v>1.89</v>
      </c>
      <c r="G145" s="6"/>
      <c r="H145" s="125">
        <v>1</v>
      </c>
      <c r="I145" s="7"/>
      <c r="J145" s="7">
        <f>IF(D145="","",PRODUCT(D145:H145))</f>
        <v>1.89</v>
      </c>
      <c r="K145" s="111"/>
      <c r="L145" s="111"/>
      <c r="M145" s="111"/>
      <c r="N145" s="111"/>
    </row>
    <row r="146" spans="1:14" x14ac:dyDescent="0.3">
      <c r="A146" s="114"/>
      <c r="B146" s="4" t="s">
        <v>1176</v>
      </c>
      <c r="C146" s="124" t="s">
        <v>0</v>
      </c>
      <c r="D146" s="5">
        <v>1</v>
      </c>
      <c r="E146" s="6" t="s">
        <v>156</v>
      </c>
      <c r="F146" s="6">
        <f>13.32-11.13</f>
        <v>2.1899999999999995</v>
      </c>
      <c r="G146" s="6"/>
      <c r="H146" s="125">
        <v>1</v>
      </c>
      <c r="I146" s="7"/>
      <c r="J146" s="7">
        <f>IF(D146="","",PRODUCT(D146:H146))</f>
        <v>2.1899999999999995</v>
      </c>
      <c r="K146" s="111"/>
      <c r="L146" s="111"/>
      <c r="M146" s="111"/>
      <c r="N146" s="111"/>
    </row>
  </sheetData>
  <mergeCells count="10">
    <mergeCell ref="A3:N3"/>
    <mergeCell ref="B6:N7"/>
    <mergeCell ref="A14:A15"/>
    <mergeCell ref="B14:B15"/>
    <mergeCell ref="C14:C15"/>
    <mergeCell ref="D14:D15"/>
    <mergeCell ref="E14:G14"/>
    <mergeCell ref="H14:H15"/>
    <mergeCell ref="I14:M14"/>
    <mergeCell ref="N14:N15"/>
  </mergeCells>
  <pageMargins left="0.70866141732283472" right="0.70866141732283472" top="0.74803149606299213" bottom="0.74803149606299213" header="0.31496062992125984" footer="0.31496062992125984"/>
  <pageSetup paperSize="9" scale="42" orientation="portrait" blackAndWhite="1" r:id="rId1"/>
  <rowBreaks count="1" manualBreakCount="1">
    <brk id="11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97B0-0918-4623-8A13-E12C53B99119}">
  <sheetPr>
    <tabColor theme="5" tint="0.39997558519241921"/>
    <pageSetUpPr fitToPage="1"/>
  </sheetPr>
  <dimension ref="A2:U3042"/>
  <sheetViews>
    <sheetView tabSelected="1" view="pageBreakPreview" zoomScale="85" zoomScaleNormal="100" zoomScaleSheetLayoutView="85" workbookViewId="0">
      <selection activeCell="O13" sqref="O13"/>
    </sheetView>
  </sheetViews>
  <sheetFormatPr baseColWidth="10" defaultRowHeight="14.4" x14ac:dyDescent="0.3"/>
  <cols>
    <col min="1" max="1" width="10.5546875" customWidth="1"/>
    <col min="2" max="2" width="49.109375" customWidth="1"/>
    <col min="3" max="3" width="11.44140625" style="360"/>
    <col min="4" max="6" width="11.5546875" style="360" customWidth="1"/>
    <col min="7" max="9" width="11.5546875" customWidth="1"/>
    <col min="16" max="16" width="12.5546875" customWidth="1"/>
    <col min="17" max="17" width="13.44140625" customWidth="1"/>
    <col min="19" max="20" width="11.33203125" customWidth="1"/>
  </cols>
  <sheetData>
    <row r="2" spans="1:21" ht="23.4" x14ac:dyDescent="0.3">
      <c r="A2" s="433" t="s">
        <v>1178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</row>
    <row r="4" spans="1:21" x14ac:dyDescent="0.3">
      <c r="A4" s="358" t="s">
        <v>1092</v>
      </c>
      <c r="B4" s="359" t="s">
        <v>1093</v>
      </c>
    </row>
    <row r="5" spans="1:21" x14ac:dyDescent="0.3">
      <c r="A5" s="361" t="s">
        <v>1094</v>
      </c>
      <c r="B5" s="359" t="s">
        <v>1095</v>
      </c>
    </row>
    <row r="6" spans="1:21" x14ac:dyDescent="0.3">
      <c r="A6" s="362" t="s">
        <v>1096</v>
      </c>
      <c r="B6" s="359" t="s">
        <v>1120</v>
      </c>
    </row>
    <row r="7" spans="1:21" x14ac:dyDescent="0.3">
      <c r="A7" s="361" t="s">
        <v>1097</v>
      </c>
      <c r="B7" s="359" t="s">
        <v>1098</v>
      </c>
    </row>
    <row r="9" spans="1:21" s="368" customFormat="1" ht="36" x14ac:dyDescent="0.25">
      <c r="A9" s="363"/>
      <c r="B9" s="364" t="s">
        <v>1099</v>
      </c>
      <c r="C9" s="364" t="s">
        <v>1100</v>
      </c>
      <c r="D9" s="364" t="s">
        <v>1101</v>
      </c>
      <c r="E9" s="364" t="s">
        <v>1102</v>
      </c>
      <c r="F9" s="364" t="s">
        <v>1103</v>
      </c>
      <c r="G9" s="364" t="s">
        <v>1104</v>
      </c>
      <c r="H9" s="364" t="s">
        <v>1105</v>
      </c>
      <c r="I9" s="364" t="s">
        <v>1106</v>
      </c>
      <c r="J9" s="364" t="s">
        <v>1107</v>
      </c>
      <c r="K9" s="364" t="s">
        <v>1108</v>
      </c>
      <c r="L9" s="364" t="s">
        <v>1109</v>
      </c>
      <c r="M9" s="364" t="s">
        <v>1110</v>
      </c>
      <c r="N9" s="364" t="s">
        <v>1111</v>
      </c>
      <c r="O9" s="365" t="s">
        <v>1112</v>
      </c>
      <c r="P9" s="366" t="s">
        <v>1113</v>
      </c>
      <c r="Q9" s="366" t="s">
        <v>1114</v>
      </c>
      <c r="R9" s="366" t="s">
        <v>1115</v>
      </c>
      <c r="S9" s="364" t="s">
        <v>1116</v>
      </c>
      <c r="T9" s="364" t="s">
        <v>1117</v>
      </c>
      <c r="U9" s="367" t="s">
        <v>1118</v>
      </c>
    </row>
    <row r="10" spans="1:21" s="373" customFormat="1" ht="13.8" x14ac:dyDescent="0.3">
      <c r="A10" s="369"/>
      <c r="B10" s="369" t="s">
        <v>1119</v>
      </c>
      <c r="C10" s="370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2"/>
      <c r="Q10" s="371"/>
      <c r="R10" s="371"/>
      <c r="S10" s="371"/>
      <c r="T10" s="371"/>
      <c r="U10" s="371"/>
    </row>
    <row r="11" spans="1:21" s="373" customFormat="1" ht="13.8" x14ac:dyDescent="0.3">
      <c r="A11" s="369">
        <v>2</v>
      </c>
      <c r="B11" s="369" t="s">
        <v>11</v>
      </c>
      <c r="C11" s="370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2"/>
      <c r="Q11" s="371"/>
      <c r="R11" s="371"/>
      <c r="S11" s="371"/>
      <c r="T11" s="371"/>
      <c r="U11" s="371"/>
    </row>
    <row r="12" spans="1:21" s="373" customFormat="1" ht="13.8" x14ac:dyDescent="0.3">
      <c r="A12" s="374" t="s">
        <v>1179</v>
      </c>
      <c r="B12" s="375" t="s">
        <v>89</v>
      </c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</row>
    <row r="13" spans="1:21" s="373" customFormat="1" ht="13.8" x14ac:dyDescent="0.3">
      <c r="A13" s="376" t="s">
        <v>1180</v>
      </c>
      <c r="B13" s="385" t="s">
        <v>522</v>
      </c>
      <c r="C13" s="377" t="s">
        <v>0</v>
      </c>
      <c r="D13" s="371">
        <f>'BLOQUE 1'!O19</f>
        <v>121.16899999999981</v>
      </c>
      <c r="E13" s="371">
        <f>'BLOQUE 2'!P19</f>
        <v>596.92650000000003</v>
      </c>
      <c r="F13" s="371">
        <f>'BLOQUE 3'!P19</f>
        <v>151.38</v>
      </c>
      <c r="G13" s="371">
        <f>'BLOQUE 4'!P19</f>
        <v>851.86739999999986</v>
      </c>
      <c r="H13" s="371">
        <f>'BLOQUE 5'!P20</f>
        <v>776.56844999999998</v>
      </c>
      <c r="I13" s="371">
        <f>'BLOQUE 6'!P20</f>
        <v>349.29299999999989</v>
      </c>
      <c r="J13" s="371">
        <f>'BLOQUE 7'!P20</f>
        <v>97.642499999999998</v>
      </c>
      <c r="K13" s="371">
        <f>'BLOQUE 8'!P20</f>
        <v>349.29299999999989</v>
      </c>
      <c r="L13" s="371">
        <f>'BLOQUE 9'!P20</f>
        <v>67.515099999999947</v>
      </c>
      <c r="M13" s="371">
        <f>'BLOQUE 10'!P20</f>
        <v>528.47550000000001</v>
      </c>
      <c r="N13" s="371">
        <f>'BLOQUE 11'!P20</f>
        <v>278.22510000000011</v>
      </c>
      <c r="O13" s="371"/>
      <c r="P13" s="372">
        <f>'QUIOSCOS P.'!P20+'QUIOSCOS S.'!P20</f>
        <v>56.020499999999998</v>
      </c>
      <c r="Q13" s="371">
        <f>GUARDIANIAS!N20</f>
        <v>68.603999999999999</v>
      </c>
      <c r="R13" s="371"/>
      <c r="S13" s="371">
        <f>ESTACIONAMIENTO!N21</f>
        <v>205.53600000000003</v>
      </c>
      <c r="T13" s="371"/>
      <c r="U13" s="371">
        <f>SUM(D13:T13)</f>
        <v>4498.5160499999984</v>
      </c>
    </row>
    <row r="14" spans="1:21" s="373" customFormat="1" ht="13.8" x14ac:dyDescent="0.3">
      <c r="A14" s="376" t="s">
        <v>1181</v>
      </c>
      <c r="B14" s="385" t="s">
        <v>521</v>
      </c>
      <c r="C14" s="377" t="s">
        <v>0</v>
      </c>
      <c r="D14" s="371">
        <f>'BLOQUE 1'!O114</f>
        <v>183.37549999999999</v>
      </c>
      <c r="E14" s="371">
        <f>'BLOQUE 2'!P84</f>
        <v>110.90250000000003</v>
      </c>
      <c r="F14" s="371"/>
      <c r="G14" s="371">
        <f>'BLOQUE 4'!P142</f>
        <v>136.54499999999999</v>
      </c>
      <c r="H14" s="371">
        <f>'BLOQUE 5'!P131</f>
        <v>253.13719999999998</v>
      </c>
      <c r="I14" s="371">
        <f>'BLOQUE 6'!P76</f>
        <v>73.935000000000002</v>
      </c>
      <c r="J14" s="371"/>
      <c r="K14" s="371">
        <f>'BLOQUE 8'!P76</f>
        <v>73.935000000000002</v>
      </c>
      <c r="L14" s="371">
        <f>'BLOQUE 9'!P70</f>
        <v>96.91040000000001</v>
      </c>
      <c r="M14" s="371">
        <f>'BLOQUE 10'!P106</f>
        <v>121.1165</v>
      </c>
      <c r="N14" s="371">
        <f>'BLOQUE 11'!P101</f>
        <v>169.84434000000005</v>
      </c>
      <c r="O14" s="371"/>
      <c r="P14" s="372">
        <f>'QUIOSCOS S.'!P53</f>
        <v>54.714500000000001</v>
      </c>
      <c r="Q14" s="371"/>
      <c r="R14" s="371"/>
      <c r="S14" s="371"/>
      <c r="T14" s="371"/>
      <c r="U14" s="371">
        <f t="shared" ref="U14:U18" si="0">SUM(D14:T14)</f>
        <v>1274.4159400000001</v>
      </c>
    </row>
    <row r="15" spans="1:21" s="373" customFormat="1" ht="13.8" x14ac:dyDescent="0.3">
      <c r="A15" s="376" t="s">
        <v>1182</v>
      </c>
      <c r="B15" s="385" t="s">
        <v>520</v>
      </c>
      <c r="C15" s="377" t="s">
        <v>0</v>
      </c>
      <c r="D15" s="371">
        <f>'BLOQUE 1'!O144</f>
        <v>177.43649999999997</v>
      </c>
      <c r="E15" s="371">
        <f>'BLOQUE 2'!P117</f>
        <v>507.18049999999965</v>
      </c>
      <c r="F15" s="371">
        <f>'BLOQUE 3'!P79</f>
        <v>193.52749999999997</v>
      </c>
      <c r="G15" s="371">
        <f>'BLOQUE 4'!P185</f>
        <v>282.44999999999993</v>
      </c>
      <c r="H15" s="371">
        <f>'BLOQUE 5'!P164</f>
        <v>635.35659999999984</v>
      </c>
      <c r="I15" s="371">
        <f>'BLOQUE 6'!P102</f>
        <v>316.33349999999984</v>
      </c>
      <c r="J15" s="371">
        <f>'BLOQUE 7'!P66</f>
        <v>133.14449999999999</v>
      </c>
      <c r="K15" s="371">
        <f>'BLOQUE 8'!P102</f>
        <v>316.33349999999984</v>
      </c>
      <c r="L15" s="371">
        <f>'BLOQUE 9'!P106</f>
        <v>240.15209999999999</v>
      </c>
      <c r="M15" s="371">
        <f>'BLOQUE 10'!P139</f>
        <v>435.86600000000016</v>
      </c>
      <c r="N15" s="371">
        <f>'BLOQUE 11'!P164</f>
        <v>270.36049999999994</v>
      </c>
      <c r="O15" s="371"/>
      <c r="P15" s="372">
        <f>'QUIOSCOS P.'!P58+'QUIOSCOS S.'!P66</f>
        <v>53.879000000000005</v>
      </c>
      <c r="Q15" s="371">
        <f>GUARDIANIAS!N59</f>
        <v>10.26</v>
      </c>
      <c r="R15" s="371"/>
      <c r="S15" s="371">
        <f>ESTACIONAMIENTO!N29</f>
        <v>22.271999999999998</v>
      </c>
      <c r="T15" s="371"/>
      <c r="U15" s="371">
        <f t="shared" si="0"/>
        <v>3594.5521999999987</v>
      </c>
    </row>
    <row r="16" spans="1:21" s="373" customFormat="1" ht="13.8" x14ac:dyDescent="0.3">
      <c r="A16" s="376" t="s">
        <v>1183</v>
      </c>
      <c r="B16" s="385" t="s">
        <v>519</v>
      </c>
      <c r="C16" s="377" t="s">
        <v>0</v>
      </c>
      <c r="D16" s="371">
        <f>'BLOQUE 1'!O195</f>
        <v>46.255500000000012</v>
      </c>
      <c r="E16" s="371">
        <f>'BLOQUE 2'!P202</f>
        <v>167.66549999999998</v>
      </c>
      <c r="F16" s="371">
        <f>'BLOQUE 3'!P133</f>
        <v>35.512000000000008</v>
      </c>
      <c r="G16" s="371">
        <f>'BLOQUE 4'!P283</f>
        <v>269.85300000000012</v>
      </c>
      <c r="H16" s="371">
        <f>'BLOQUE 5'!P234</f>
        <v>213.83150000000009</v>
      </c>
      <c r="I16" s="371">
        <f>'BLOQUE 6'!P170</f>
        <v>92.868499999999983</v>
      </c>
      <c r="J16" s="371">
        <f>'BLOQUE 7'!P107</f>
        <v>24.924000000000003</v>
      </c>
      <c r="K16" s="371">
        <f>'BLOQUE 8'!P170</f>
        <v>92.868499999999983</v>
      </c>
      <c r="L16" s="371">
        <f>'BLOQUE 9'!P168</f>
        <v>67.339000000000027</v>
      </c>
      <c r="M16" s="371">
        <f>'BLOQUE 10'!P214</f>
        <v>157.37099999999998</v>
      </c>
      <c r="N16" s="371">
        <f>'BLOQUE 11'!P305</f>
        <v>96.914400000000029</v>
      </c>
      <c r="O16" s="371"/>
      <c r="P16" s="372">
        <f>'QUIOSCOS P.'!P72+'QUIOSCOS S.'!P89</f>
        <v>25.760999999999999</v>
      </c>
      <c r="Q16" s="371">
        <f>GUARDIANIAS!N86</f>
        <v>2.0954999999999999</v>
      </c>
      <c r="R16" s="371"/>
      <c r="S16" s="371"/>
      <c r="T16" s="371"/>
      <c r="U16" s="371">
        <f t="shared" si="0"/>
        <v>1293.2594000000001</v>
      </c>
    </row>
    <row r="17" spans="1:21" s="373" customFormat="1" ht="13.8" x14ac:dyDescent="0.3">
      <c r="A17" s="376" t="s">
        <v>1184</v>
      </c>
      <c r="B17" s="385" t="s">
        <v>420</v>
      </c>
      <c r="C17" s="377" t="s">
        <v>0</v>
      </c>
      <c r="D17" s="371">
        <f>'BLOQUE 1'!O258</f>
        <v>31.347000000000001</v>
      </c>
      <c r="E17" s="371">
        <f>'BLOQUE 2'!P274</f>
        <v>100.95299999999999</v>
      </c>
      <c r="F17" s="371">
        <f>'BLOQUE 3'!P192</f>
        <v>12.479999999999999</v>
      </c>
      <c r="G17" s="371">
        <f>'BLOQUE 4'!P468</f>
        <v>73.382999999999996</v>
      </c>
      <c r="H17" s="371">
        <f>'BLOQUE 5'!P379</f>
        <v>102.50099999999999</v>
      </c>
      <c r="I17" s="371">
        <f>'BLOQUE 6'!P272</f>
        <v>52.47</v>
      </c>
      <c r="J17" s="371">
        <f>'BLOQUE 7'!P151</f>
        <v>9.36</v>
      </c>
      <c r="K17" s="371">
        <f>'BLOQUE 8'!P272</f>
        <v>52.47</v>
      </c>
      <c r="L17" s="371">
        <f>'BLOQUE 9'!P258</f>
        <v>12.956999999999999</v>
      </c>
      <c r="M17" s="371">
        <f>'BLOQUE 10'!P292</f>
        <v>85.697999999999993</v>
      </c>
      <c r="N17" s="371">
        <f>'BLOQUE 11'!P384</f>
        <v>83.871000000000009</v>
      </c>
      <c r="O17" s="371"/>
      <c r="P17" s="372">
        <f>'QUIOSCOS P.'!P101+'QUIOSCOS S.'!P129</f>
        <v>19.623000000000001</v>
      </c>
      <c r="Q17" s="371">
        <f>GUARDIANIAS!N112</f>
        <v>12.089999999999998</v>
      </c>
      <c r="R17" s="371"/>
      <c r="S17" s="371"/>
      <c r="T17" s="371"/>
      <c r="U17" s="371">
        <f t="shared" si="0"/>
        <v>649.20299999999997</v>
      </c>
    </row>
    <row r="18" spans="1:21" s="373" customFormat="1" ht="13.8" x14ac:dyDescent="0.3">
      <c r="A18" s="376" t="s">
        <v>1185</v>
      </c>
      <c r="B18" s="385" t="s">
        <v>159</v>
      </c>
      <c r="C18" s="377" t="s">
        <v>0</v>
      </c>
      <c r="D18" s="371">
        <f>'BLOQUE 1'!O292</f>
        <v>199.87000000000003</v>
      </c>
      <c r="E18" s="371">
        <f>'BLOQUE 2'!P300</f>
        <v>769.59250000000009</v>
      </c>
      <c r="F18" s="371">
        <f>'BLOQUE 3'!P218</f>
        <v>127.80000000000003</v>
      </c>
      <c r="G18" s="371">
        <f>'BLOQUE 4'!P530</f>
        <v>303.39999999999998</v>
      </c>
      <c r="H18" s="371">
        <f>'BLOQUE 5'!P430</f>
        <v>482.45</v>
      </c>
      <c r="I18" s="371">
        <f>'BLOQUE 6'!P297</f>
        <v>533.79500000000007</v>
      </c>
      <c r="J18" s="371">
        <f>'BLOQUE 7'!P171</f>
        <v>96.120000000000019</v>
      </c>
      <c r="K18" s="371">
        <f>'BLOQUE 8'!P297</f>
        <v>533.79500000000007</v>
      </c>
      <c r="L18" s="371">
        <f>'BLOQUE 9'!P276</f>
        <v>143.32000000000002</v>
      </c>
      <c r="M18" s="371">
        <f>'BLOQUE 10'!P326</f>
        <v>713.23500000000001</v>
      </c>
      <c r="N18" s="371">
        <f>'BLOQUE 11'!P433</f>
        <v>169.28000000000003</v>
      </c>
      <c r="O18" s="371"/>
      <c r="P18" s="372">
        <f>'QUIOSCOS P.'!P122+'QUIOSCOS S.'!P144</f>
        <v>112.35999999999999</v>
      </c>
      <c r="Q18" s="371">
        <f>GUARDIANIAS!N135</f>
        <v>24.4</v>
      </c>
      <c r="R18" s="371"/>
      <c r="S18" s="371"/>
      <c r="T18" s="371"/>
      <c r="U18" s="371">
        <f t="shared" si="0"/>
        <v>4209.4175000000005</v>
      </c>
    </row>
    <row r="19" spans="1:21" s="373" customFormat="1" ht="13.8" x14ac:dyDescent="0.3">
      <c r="A19" s="378"/>
      <c r="B19" s="378"/>
      <c r="C19" s="379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2"/>
      <c r="Q19" s="371"/>
      <c r="R19" s="371"/>
      <c r="S19" s="371"/>
      <c r="T19" s="371"/>
      <c r="U19" s="371"/>
    </row>
    <row r="20" spans="1:21" s="373" customFormat="1" ht="13.8" x14ac:dyDescent="0.3">
      <c r="A20" s="378"/>
      <c r="B20" s="378"/>
      <c r="C20" s="379"/>
      <c r="D20" s="379"/>
      <c r="E20" s="379"/>
      <c r="F20" s="379"/>
      <c r="G20" s="380"/>
    </row>
    <row r="21" spans="1:21" s="373" customFormat="1" ht="13.8" x14ac:dyDescent="0.3">
      <c r="A21" s="378"/>
      <c r="B21" s="378"/>
      <c r="C21" s="379"/>
      <c r="D21" s="379"/>
      <c r="E21" s="379"/>
      <c r="F21" s="379"/>
      <c r="G21" s="380"/>
    </row>
    <row r="22" spans="1:21" s="373" customFormat="1" ht="13.8" x14ac:dyDescent="0.3">
      <c r="A22" s="378"/>
      <c r="B22" s="378"/>
      <c r="C22" s="379"/>
      <c r="D22" s="379"/>
      <c r="E22" s="379"/>
      <c r="F22" s="379"/>
      <c r="G22" s="380"/>
    </row>
    <row r="23" spans="1:21" s="373" customFormat="1" ht="13.8" x14ac:dyDescent="0.3">
      <c r="A23" s="378"/>
      <c r="B23" s="378"/>
      <c r="C23" s="379"/>
      <c r="D23" s="379"/>
      <c r="E23" s="379"/>
      <c r="F23" s="379"/>
      <c r="G23" s="380"/>
    </row>
    <row r="24" spans="1:21" s="373" customFormat="1" ht="13.8" x14ac:dyDescent="0.3">
      <c r="A24" s="378"/>
      <c r="B24" s="378"/>
      <c r="C24" s="379"/>
      <c r="D24" s="379"/>
      <c r="E24" s="379"/>
      <c r="F24" s="379"/>
      <c r="G24" s="380"/>
    </row>
    <row r="25" spans="1:21" s="373" customFormat="1" ht="13.8" x14ac:dyDescent="0.3">
      <c r="A25" s="378"/>
      <c r="B25" s="378"/>
      <c r="C25" s="379"/>
      <c r="D25" s="379"/>
      <c r="E25" s="379"/>
      <c r="F25" s="379"/>
      <c r="G25" s="380"/>
    </row>
    <row r="26" spans="1:21" s="373" customFormat="1" ht="13.8" x14ac:dyDescent="0.3">
      <c r="A26" s="378"/>
      <c r="B26" s="378"/>
      <c r="C26" s="379"/>
      <c r="D26" s="379"/>
      <c r="E26" s="379"/>
      <c r="F26" s="379"/>
      <c r="G26" s="380"/>
    </row>
    <row r="27" spans="1:21" s="373" customFormat="1" ht="13.8" x14ac:dyDescent="0.3">
      <c r="A27" s="378"/>
      <c r="B27" s="378"/>
      <c r="C27" s="379"/>
      <c r="D27" s="379"/>
      <c r="E27" s="379"/>
      <c r="F27" s="379"/>
      <c r="G27" s="380"/>
    </row>
    <row r="28" spans="1:21" s="373" customFormat="1" ht="13.8" x14ac:dyDescent="0.3">
      <c r="A28" s="378"/>
      <c r="B28" s="378"/>
      <c r="C28" s="379"/>
      <c r="D28" s="379"/>
      <c r="E28" s="379"/>
      <c r="F28" s="379"/>
      <c r="G28" s="380"/>
    </row>
    <row r="29" spans="1:21" s="373" customFormat="1" ht="13.8" x14ac:dyDescent="0.3">
      <c r="A29" s="378"/>
      <c r="B29" s="378"/>
      <c r="C29" s="379"/>
      <c r="D29" s="379"/>
      <c r="E29" s="379"/>
      <c r="F29" s="379"/>
      <c r="G29" s="380"/>
    </row>
    <row r="30" spans="1:21" s="373" customFormat="1" ht="13.8" x14ac:dyDescent="0.3">
      <c r="A30" s="378"/>
      <c r="B30" s="378"/>
      <c r="C30" s="379"/>
      <c r="D30" s="379"/>
      <c r="E30" s="379"/>
      <c r="F30" s="379"/>
      <c r="G30" s="380"/>
    </row>
    <row r="31" spans="1:21" s="373" customFormat="1" ht="13.8" x14ac:dyDescent="0.3">
      <c r="A31" s="378"/>
      <c r="B31" s="378"/>
      <c r="C31" s="379"/>
      <c r="D31" s="379"/>
      <c r="E31" s="379"/>
      <c r="F31" s="379"/>
      <c r="G31" s="380"/>
    </row>
    <row r="32" spans="1:21" s="373" customFormat="1" ht="13.8" x14ac:dyDescent="0.3">
      <c r="A32" s="378"/>
      <c r="B32" s="378"/>
      <c r="C32" s="379"/>
      <c r="D32" s="379"/>
      <c r="E32" s="379"/>
      <c r="F32" s="379"/>
      <c r="G32" s="380"/>
    </row>
    <row r="33" spans="1:7" s="373" customFormat="1" ht="13.8" x14ac:dyDescent="0.3">
      <c r="A33" s="378"/>
      <c r="B33" s="378"/>
      <c r="C33" s="379"/>
      <c r="D33" s="379"/>
      <c r="E33" s="379"/>
      <c r="F33" s="379"/>
      <c r="G33" s="380"/>
    </row>
    <row r="34" spans="1:7" s="373" customFormat="1" ht="13.8" x14ac:dyDescent="0.3">
      <c r="A34" s="378"/>
      <c r="B34" s="378"/>
      <c r="C34" s="379"/>
      <c r="D34" s="379"/>
      <c r="E34" s="379"/>
      <c r="F34" s="379"/>
      <c r="G34" s="380"/>
    </row>
    <row r="35" spans="1:7" s="373" customFormat="1" ht="13.8" x14ac:dyDescent="0.3">
      <c r="A35" s="378"/>
      <c r="B35" s="378"/>
      <c r="C35" s="379"/>
      <c r="D35" s="379"/>
      <c r="E35" s="379"/>
      <c r="F35" s="379"/>
      <c r="G35" s="380"/>
    </row>
    <row r="36" spans="1:7" s="373" customFormat="1" ht="13.8" x14ac:dyDescent="0.3">
      <c r="A36" s="378"/>
      <c r="B36" s="378"/>
      <c r="C36" s="379"/>
      <c r="D36" s="379"/>
      <c r="E36" s="379"/>
      <c r="F36" s="379"/>
      <c r="G36" s="380"/>
    </row>
    <row r="37" spans="1:7" s="373" customFormat="1" ht="13.8" x14ac:dyDescent="0.3">
      <c r="A37" s="378"/>
      <c r="B37" s="378"/>
      <c r="C37" s="379"/>
      <c r="D37" s="379"/>
      <c r="E37" s="379"/>
      <c r="F37" s="379"/>
      <c r="G37" s="380"/>
    </row>
    <row r="38" spans="1:7" s="373" customFormat="1" ht="13.8" x14ac:dyDescent="0.3">
      <c r="A38" s="378"/>
      <c r="B38" s="378"/>
      <c r="C38" s="379"/>
      <c r="D38" s="379"/>
      <c r="E38" s="379"/>
      <c r="F38" s="379"/>
      <c r="G38" s="380"/>
    </row>
    <row r="39" spans="1:7" s="373" customFormat="1" ht="13.8" x14ac:dyDescent="0.3">
      <c r="A39" s="378"/>
      <c r="B39" s="378"/>
      <c r="C39" s="379"/>
      <c r="D39" s="379"/>
      <c r="E39" s="379"/>
      <c r="F39" s="379"/>
      <c r="G39" s="380"/>
    </row>
    <row r="40" spans="1:7" s="373" customFormat="1" ht="13.8" x14ac:dyDescent="0.3">
      <c r="A40" s="378"/>
      <c r="B40" s="378"/>
      <c r="C40" s="379"/>
      <c r="D40" s="379"/>
      <c r="E40" s="379"/>
      <c r="F40" s="379"/>
      <c r="G40" s="380"/>
    </row>
    <row r="41" spans="1:7" s="373" customFormat="1" ht="13.8" x14ac:dyDescent="0.3">
      <c r="A41" s="378"/>
      <c r="B41" s="378"/>
      <c r="C41" s="379"/>
      <c r="D41" s="379"/>
      <c r="E41" s="379"/>
      <c r="F41" s="379"/>
      <c r="G41" s="380"/>
    </row>
    <row r="42" spans="1:7" s="373" customFormat="1" ht="13.8" x14ac:dyDescent="0.3">
      <c r="A42" s="378"/>
      <c r="B42" s="378"/>
      <c r="C42" s="379"/>
      <c r="D42" s="379"/>
      <c r="E42" s="379"/>
      <c r="F42" s="379"/>
      <c r="G42" s="380"/>
    </row>
    <row r="43" spans="1:7" s="373" customFormat="1" ht="13.8" x14ac:dyDescent="0.3">
      <c r="A43" s="378"/>
      <c r="B43" s="378"/>
      <c r="C43" s="379"/>
      <c r="D43" s="379"/>
      <c r="E43" s="379"/>
      <c r="F43" s="379"/>
      <c r="G43" s="380"/>
    </row>
    <row r="44" spans="1:7" s="373" customFormat="1" ht="13.8" x14ac:dyDescent="0.3">
      <c r="A44" s="378"/>
      <c r="B44" s="378"/>
      <c r="C44" s="379"/>
      <c r="D44" s="379"/>
      <c r="E44" s="379"/>
      <c r="F44" s="379"/>
      <c r="G44" s="380"/>
    </row>
    <row r="45" spans="1:7" s="373" customFormat="1" ht="13.8" x14ac:dyDescent="0.3">
      <c r="A45" s="378"/>
      <c r="B45" s="378"/>
      <c r="C45" s="379"/>
      <c r="D45" s="379"/>
      <c r="E45" s="379"/>
      <c r="F45" s="379"/>
      <c r="G45" s="380"/>
    </row>
    <row r="46" spans="1:7" s="373" customFormat="1" ht="13.8" x14ac:dyDescent="0.3">
      <c r="A46" s="378"/>
      <c r="B46" s="378"/>
      <c r="C46" s="379"/>
      <c r="D46" s="379"/>
      <c r="E46" s="379"/>
      <c r="F46" s="379"/>
      <c r="G46" s="380"/>
    </row>
    <row r="47" spans="1:7" s="373" customFormat="1" ht="13.8" x14ac:dyDescent="0.3">
      <c r="A47" s="378"/>
      <c r="B47" s="378"/>
      <c r="C47" s="379"/>
      <c r="D47" s="379"/>
      <c r="E47" s="379"/>
      <c r="F47" s="379"/>
      <c r="G47" s="380"/>
    </row>
    <row r="48" spans="1:7" s="373" customFormat="1" ht="13.8" x14ac:dyDescent="0.3">
      <c r="A48" s="378"/>
      <c r="B48" s="378"/>
      <c r="C48" s="379"/>
      <c r="D48" s="379"/>
      <c r="E48" s="379"/>
      <c r="F48" s="379"/>
      <c r="G48" s="380"/>
    </row>
    <row r="49" spans="1:7" s="373" customFormat="1" ht="13.8" x14ac:dyDescent="0.3">
      <c r="A49" s="378"/>
      <c r="B49" s="378"/>
      <c r="C49" s="379"/>
      <c r="D49" s="379"/>
      <c r="E49" s="379"/>
      <c r="F49" s="379"/>
      <c r="G49" s="380"/>
    </row>
    <row r="50" spans="1:7" s="373" customFormat="1" ht="13.8" x14ac:dyDescent="0.3">
      <c r="A50" s="378"/>
      <c r="B50" s="378"/>
      <c r="C50" s="379"/>
      <c r="D50" s="379"/>
      <c r="E50" s="379"/>
      <c r="F50" s="379"/>
      <c r="G50" s="380"/>
    </row>
    <row r="51" spans="1:7" s="373" customFormat="1" ht="13.8" x14ac:dyDescent="0.3">
      <c r="A51" s="378"/>
      <c r="B51" s="378"/>
      <c r="C51" s="379"/>
      <c r="D51" s="379"/>
      <c r="E51" s="379"/>
      <c r="F51" s="379"/>
      <c r="G51" s="380"/>
    </row>
    <row r="52" spans="1:7" s="373" customFormat="1" ht="13.8" x14ac:dyDescent="0.3">
      <c r="A52" s="378"/>
      <c r="B52" s="378"/>
      <c r="C52" s="379"/>
      <c r="D52" s="379"/>
      <c r="E52" s="379"/>
      <c r="F52" s="379"/>
      <c r="G52" s="380"/>
    </row>
    <row r="53" spans="1:7" s="373" customFormat="1" ht="13.8" x14ac:dyDescent="0.3">
      <c r="A53" s="378"/>
      <c r="B53" s="378"/>
      <c r="C53" s="379"/>
      <c r="D53" s="379"/>
      <c r="E53" s="379"/>
      <c r="F53" s="379"/>
      <c r="G53" s="380"/>
    </row>
    <row r="54" spans="1:7" s="373" customFormat="1" ht="13.8" x14ac:dyDescent="0.3">
      <c r="A54" s="378"/>
      <c r="B54" s="378"/>
      <c r="C54" s="379"/>
      <c r="D54" s="379"/>
      <c r="E54" s="379"/>
      <c r="F54" s="379"/>
      <c r="G54" s="380"/>
    </row>
    <row r="55" spans="1:7" s="373" customFormat="1" ht="13.8" x14ac:dyDescent="0.3">
      <c r="A55" s="378"/>
      <c r="B55" s="378"/>
      <c r="C55" s="379"/>
      <c r="D55" s="379"/>
      <c r="E55" s="379"/>
      <c r="F55" s="379"/>
      <c r="G55" s="380"/>
    </row>
    <row r="56" spans="1:7" s="373" customFormat="1" ht="13.8" x14ac:dyDescent="0.3">
      <c r="A56" s="378"/>
      <c r="B56" s="378"/>
      <c r="C56" s="379"/>
      <c r="D56" s="379"/>
      <c r="E56" s="379"/>
      <c r="F56" s="379"/>
      <c r="G56" s="380"/>
    </row>
    <row r="57" spans="1:7" s="373" customFormat="1" ht="13.8" x14ac:dyDescent="0.3">
      <c r="A57" s="378"/>
      <c r="B57" s="378"/>
      <c r="C57" s="379"/>
      <c r="D57" s="379"/>
      <c r="E57" s="379"/>
      <c r="F57" s="379"/>
      <c r="G57" s="380"/>
    </row>
    <row r="58" spans="1:7" s="373" customFormat="1" ht="13.8" x14ac:dyDescent="0.3">
      <c r="A58" s="378"/>
      <c r="B58" s="378"/>
      <c r="C58" s="379"/>
      <c r="D58" s="379"/>
      <c r="E58" s="379"/>
      <c r="F58" s="379"/>
      <c r="G58" s="380"/>
    </row>
    <row r="59" spans="1:7" s="373" customFormat="1" ht="13.8" x14ac:dyDescent="0.3">
      <c r="A59" s="378"/>
      <c r="B59" s="378"/>
      <c r="C59" s="379"/>
      <c r="D59" s="379"/>
      <c r="E59" s="379"/>
      <c r="F59" s="379"/>
      <c r="G59" s="380"/>
    </row>
    <row r="60" spans="1:7" s="373" customFormat="1" ht="13.8" x14ac:dyDescent="0.3">
      <c r="A60" s="378"/>
      <c r="B60" s="378"/>
      <c r="C60" s="379"/>
      <c r="D60" s="379"/>
      <c r="E60" s="379"/>
      <c r="F60" s="379"/>
      <c r="G60" s="380"/>
    </row>
    <row r="61" spans="1:7" s="373" customFormat="1" ht="13.8" x14ac:dyDescent="0.3">
      <c r="A61" s="378"/>
      <c r="B61" s="378"/>
      <c r="C61" s="379"/>
      <c r="D61" s="379"/>
      <c r="E61" s="379"/>
      <c r="F61" s="379"/>
      <c r="G61" s="380"/>
    </row>
    <row r="62" spans="1:7" s="373" customFormat="1" ht="13.8" x14ac:dyDescent="0.3">
      <c r="A62" s="378"/>
      <c r="B62" s="378"/>
      <c r="C62" s="379"/>
      <c r="D62" s="379"/>
      <c r="E62" s="379"/>
      <c r="F62" s="379"/>
      <c r="G62" s="380"/>
    </row>
    <row r="63" spans="1:7" s="373" customFormat="1" ht="13.8" x14ac:dyDescent="0.3">
      <c r="A63" s="378"/>
      <c r="B63" s="378"/>
      <c r="C63" s="379"/>
      <c r="D63" s="379"/>
      <c r="E63" s="379"/>
      <c r="F63" s="379"/>
      <c r="G63" s="380"/>
    </row>
    <row r="64" spans="1:7" s="373" customFormat="1" ht="13.8" x14ac:dyDescent="0.3">
      <c r="A64" s="378"/>
      <c r="B64" s="378"/>
      <c r="C64" s="379"/>
      <c r="D64" s="379"/>
      <c r="E64" s="379"/>
      <c r="F64" s="379"/>
      <c r="G64" s="380"/>
    </row>
    <row r="65" spans="1:7" s="373" customFormat="1" ht="13.8" x14ac:dyDescent="0.3">
      <c r="A65" s="378"/>
      <c r="B65" s="378"/>
      <c r="C65" s="379"/>
      <c r="D65" s="379"/>
      <c r="E65" s="379"/>
      <c r="F65" s="379"/>
      <c r="G65" s="380"/>
    </row>
    <row r="66" spans="1:7" s="373" customFormat="1" ht="13.8" x14ac:dyDescent="0.3">
      <c r="A66" s="378"/>
      <c r="B66" s="378"/>
      <c r="C66" s="379"/>
      <c r="D66" s="379"/>
      <c r="E66" s="379"/>
      <c r="F66" s="379"/>
      <c r="G66" s="380"/>
    </row>
    <row r="67" spans="1:7" s="373" customFormat="1" ht="13.8" x14ac:dyDescent="0.3">
      <c r="A67" s="378"/>
      <c r="B67" s="378"/>
      <c r="C67" s="379"/>
      <c r="D67" s="379"/>
      <c r="E67" s="379"/>
      <c r="F67" s="379"/>
      <c r="G67" s="380"/>
    </row>
    <row r="68" spans="1:7" s="373" customFormat="1" ht="13.8" x14ac:dyDescent="0.3">
      <c r="A68" s="378"/>
      <c r="B68" s="378"/>
      <c r="C68" s="379"/>
      <c r="D68" s="379"/>
      <c r="E68" s="379"/>
      <c r="F68" s="379"/>
      <c r="G68" s="380"/>
    </row>
    <row r="69" spans="1:7" s="373" customFormat="1" ht="13.8" x14ac:dyDescent="0.3">
      <c r="A69" s="378"/>
      <c r="B69" s="378"/>
      <c r="C69" s="379"/>
      <c r="D69" s="379"/>
      <c r="E69" s="379"/>
      <c r="F69" s="379"/>
      <c r="G69" s="380"/>
    </row>
    <row r="70" spans="1:7" s="373" customFormat="1" ht="13.8" x14ac:dyDescent="0.3">
      <c r="A70" s="378"/>
      <c r="B70" s="378"/>
      <c r="C70" s="379"/>
      <c r="D70" s="379"/>
      <c r="E70" s="379"/>
      <c r="F70" s="379"/>
      <c r="G70" s="380"/>
    </row>
    <row r="71" spans="1:7" s="373" customFormat="1" ht="13.8" x14ac:dyDescent="0.3">
      <c r="A71" s="378"/>
      <c r="B71" s="378"/>
      <c r="C71" s="379"/>
      <c r="D71" s="379"/>
      <c r="E71" s="379"/>
      <c r="F71" s="379"/>
      <c r="G71" s="380"/>
    </row>
    <row r="72" spans="1:7" s="373" customFormat="1" ht="13.8" x14ac:dyDescent="0.3">
      <c r="A72" s="378"/>
      <c r="B72" s="378"/>
      <c r="C72" s="379"/>
      <c r="D72" s="379"/>
      <c r="E72" s="379"/>
      <c r="F72" s="379"/>
      <c r="G72" s="380"/>
    </row>
    <row r="73" spans="1:7" s="373" customFormat="1" ht="13.8" x14ac:dyDescent="0.3">
      <c r="A73" s="378"/>
      <c r="B73" s="378"/>
      <c r="C73" s="379"/>
      <c r="D73" s="379"/>
      <c r="E73" s="379"/>
      <c r="F73" s="379"/>
      <c r="G73" s="380"/>
    </row>
    <row r="74" spans="1:7" s="373" customFormat="1" ht="13.8" x14ac:dyDescent="0.3">
      <c r="A74" s="378"/>
      <c r="B74" s="378"/>
      <c r="C74" s="379"/>
      <c r="D74" s="379"/>
      <c r="E74" s="379"/>
      <c r="F74" s="379"/>
      <c r="G74" s="380"/>
    </row>
    <row r="75" spans="1:7" s="373" customFormat="1" ht="13.8" x14ac:dyDescent="0.3">
      <c r="A75" s="378"/>
      <c r="B75" s="378"/>
      <c r="C75" s="379"/>
      <c r="D75" s="379"/>
      <c r="E75" s="379"/>
      <c r="F75" s="379"/>
      <c r="G75" s="380"/>
    </row>
    <row r="76" spans="1:7" s="373" customFormat="1" ht="13.8" x14ac:dyDescent="0.3">
      <c r="A76" s="378"/>
      <c r="B76" s="378"/>
      <c r="C76" s="379"/>
      <c r="D76" s="379"/>
      <c r="E76" s="379"/>
      <c r="F76" s="379"/>
      <c r="G76" s="380"/>
    </row>
    <row r="77" spans="1:7" s="373" customFormat="1" ht="13.8" x14ac:dyDescent="0.3">
      <c r="A77" s="378"/>
      <c r="B77" s="378"/>
      <c r="C77" s="379"/>
      <c r="D77" s="379"/>
      <c r="E77" s="379"/>
      <c r="F77" s="379"/>
      <c r="G77" s="380"/>
    </row>
    <row r="78" spans="1:7" s="373" customFormat="1" ht="13.8" x14ac:dyDescent="0.3">
      <c r="A78" s="378"/>
      <c r="B78" s="378"/>
      <c r="C78" s="379"/>
      <c r="D78" s="379"/>
      <c r="E78" s="379"/>
      <c r="F78" s="379"/>
      <c r="G78" s="380"/>
    </row>
    <row r="79" spans="1:7" s="373" customFormat="1" ht="13.8" x14ac:dyDescent="0.3">
      <c r="A79" s="378"/>
      <c r="B79" s="378"/>
      <c r="C79" s="379"/>
      <c r="D79" s="379"/>
      <c r="E79" s="379"/>
      <c r="F79" s="379"/>
      <c r="G79" s="380"/>
    </row>
    <row r="80" spans="1:7" s="373" customFormat="1" ht="13.8" x14ac:dyDescent="0.3">
      <c r="A80" s="378"/>
      <c r="B80" s="378"/>
      <c r="C80" s="379"/>
      <c r="D80" s="379"/>
      <c r="E80" s="379"/>
      <c r="F80" s="379"/>
      <c r="G80" s="380"/>
    </row>
    <row r="81" spans="1:7" s="373" customFormat="1" ht="13.8" x14ac:dyDescent="0.3">
      <c r="A81" s="378"/>
      <c r="B81" s="378"/>
      <c r="C81" s="379"/>
      <c r="D81" s="379"/>
      <c r="E81" s="379"/>
      <c r="F81" s="379"/>
      <c r="G81" s="380"/>
    </row>
    <row r="82" spans="1:7" s="373" customFormat="1" ht="13.8" x14ac:dyDescent="0.3">
      <c r="A82" s="378"/>
      <c r="B82" s="378"/>
      <c r="C82" s="379"/>
      <c r="D82" s="379"/>
      <c r="E82" s="379"/>
      <c r="F82" s="379"/>
      <c r="G82" s="380"/>
    </row>
    <row r="83" spans="1:7" s="373" customFormat="1" ht="13.8" x14ac:dyDescent="0.3">
      <c r="A83" s="378"/>
      <c r="B83" s="378"/>
      <c r="C83" s="379"/>
      <c r="D83" s="379"/>
      <c r="E83" s="379"/>
      <c r="F83" s="379"/>
      <c r="G83" s="380"/>
    </row>
    <row r="84" spans="1:7" s="373" customFormat="1" ht="13.8" x14ac:dyDescent="0.3">
      <c r="A84" s="378"/>
      <c r="B84" s="378"/>
      <c r="C84" s="379"/>
      <c r="D84" s="379"/>
      <c r="E84" s="379"/>
      <c r="F84" s="379"/>
      <c r="G84" s="380"/>
    </row>
    <row r="85" spans="1:7" s="373" customFormat="1" ht="13.8" x14ac:dyDescent="0.3">
      <c r="A85" s="378"/>
      <c r="B85" s="378"/>
      <c r="C85" s="379"/>
      <c r="D85" s="379"/>
      <c r="E85" s="379"/>
      <c r="F85" s="379"/>
      <c r="G85" s="380"/>
    </row>
    <row r="86" spans="1:7" s="373" customFormat="1" ht="13.8" x14ac:dyDescent="0.3">
      <c r="A86" s="378"/>
      <c r="B86" s="378"/>
      <c r="C86" s="379"/>
      <c r="D86" s="379"/>
      <c r="E86" s="379"/>
      <c r="F86" s="379"/>
      <c r="G86" s="380"/>
    </row>
    <row r="87" spans="1:7" s="373" customFormat="1" ht="13.8" x14ac:dyDescent="0.3">
      <c r="A87" s="378"/>
      <c r="B87" s="378"/>
      <c r="C87" s="379"/>
      <c r="D87" s="379"/>
      <c r="E87" s="379"/>
      <c r="F87" s="379"/>
      <c r="G87" s="380"/>
    </row>
    <row r="88" spans="1:7" s="373" customFormat="1" ht="13.8" x14ac:dyDescent="0.3">
      <c r="A88" s="378"/>
      <c r="B88" s="378"/>
      <c r="C88" s="379"/>
      <c r="D88" s="379"/>
      <c r="E88" s="379"/>
      <c r="F88" s="379"/>
      <c r="G88" s="380"/>
    </row>
    <row r="89" spans="1:7" s="373" customFormat="1" ht="13.8" x14ac:dyDescent="0.3">
      <c r="A89" s="378"/>
      <c r="B89" s="378"/>
      <c r="C89" s="379"/>
      <c r="D89" s="379"/>
      <c r="E89" s="379"/>
      <c r="F89" s="379"/>
      <c r="G89" s="380"/>
    </row>
    <row r="90" spans="1:7" s="373" customFormat="1" ht="13.8" x14ac:dyDescent="0.3">
      <c r="A90" s="378"/>
      <c r="B90" s="378"/>
      <c r="C90" s="379"/>
      <c r="D90" s="379"/>
      <c r="E90" s="379"/>
      <c r="F90" s="379"/>
      <c r="G90" s="380"/>
    </row>
    <row r="91" spans="1:7" s="373" customFormat="1" ht="13.8" x14ac:dyDescent="0.3">
      <c r="A91" s="378"/>
      <c r="B91" s="378"/>
      <c r="C91" s="379"/>
      <c r="D91" s="379"/>
      <c r="E91" s="379"/>
      <c r="F91" s="379"/>
      <c r="G91" s="380"/>
    </row>
    <row r="92" spans="1:7" s="373" customFormat="1" ht="13.8" x14ac:dyDescent="0.3">
      <c r="A92" s="378"/>
      <c r="B92" s="378"/>
      <c r="C92" s="379"/>
      <c r="D92" s="379"/>
      <c r="E92" s="379"/>
      <c r="F92" s="379"/>
      <c r="G92" s="380"/>
    </row>
    <row r="93" spans="1:7" s="373" customFormat="1" ht="13.8" x14ac:dyDescent="0.3">
      <c r="A93" s="378"/>
      <c r="B93" s="378"/>
      <c r="C93" s="379"/>
      <c r="D93" s="379"/>
      <c r="E93" s="379"/>
      <c r="F93" s="379"/>
      <c r="G93" s="380"/>
    </row>
    <row r="94" spans="1:7" s="373" customFormat="1" ht="13.8" x14ac:dyDescent="0.3">
      <c r="A94" s="378"/>
      <c r="B94" s="378"/>
      <c r="C94" s="379"/>
      <c r="D94" s="379"/>
      <c r="E94" s="379"/>
      <c r="F94" s="379"/>
      <c r="G94" s="380"/>
    </row>
    <row r="95" spans="1:7" s="373" customFormat="1" ht="13.8" x14ac:dyDescent="0.3">
      <c r="A95" s="378"/>
      <c r="B95" s="378"/>
      <c r="C95" s="379"/>
      <c r="D95" s="379"/>
      <c r="E95" s="379"/>
      <c r="F95" s="379"/>
      <c r="G95" s="380"/>
    </row>
    <row r="96" spans="1:7" s="373" customFormat="1" ht="13.8" x14ac:dyDescent="0.3">
      <c r="A96" s="378"/>
      <c r="B96" s="378"/>
      <c r="C96" s="379"/>
      <c r="D96" s="379"/>
      <c r="E96" s="379"/>
      <c r="F96" s="379"/>
      <c r="G96" s="380"/>
    </row>
    <row r="97" spans="1:7" s="373" customFormat="1" ht="13.8" x14ac:dyDescent="0.3">
      <c r="A97" s="378"/>
      <c r="B97" s="378"/>
      <c r="C97" s="379"/>
      <c r="D97" s="379"/>
      <c r="E97" s="379"/>
      <c r="F97" s="379"/>
      <c r="G97" s="380"/>
    </row>
    <row r="98" spans="1:7" s="373" customFormat="1" ht="13.8" x14ac:dyDescent="0.3">
      <c r="A98" s="378"/>
      <c r="B98" s="378"/>
      <c r="C98" s="379"/>
      <c r="D98" s="379"/>
      <c r="E98" s="379"/>
      <c r="F98" s="379"/>
      <c r="G98" s="380"/>
    </row>
    <row r="99" spans="1:7" s="373" customFormat="1" ht="13.8" x14ac:dyDescent="0.3">
      <c r="A99" s="378"/>
      <c r="B99" s="378"/>
      <c r="C99" s="379"/>
      <c r="D99" s="379"/>
      <c r="E99" s="379"/>
      <c r="F99" s="379"/>
      <c r="G99" s="380"/>
    </row>
    <row r="100" spans="1:7" s="373" customFormat="1" ht="13.8" x14ac:dyDescent="0.3">
      <c r="A100" s="378"/>
      <c r="B100" s="378"/>
      <c r="C100" s="379"/>
      <c r="D100" s="379"/>
      <c r="E100" s="379"/>
      <c r="F100" s="379"/>
      <c r="G100" s="380"/>
    </row>
    <row r="101" spans="1:7" s="373" customFormat="1" ht="13.8" x14ac:dyDescent="0.3">
      <c r="A101" s="378"/>
      <c r="B101" s="378"/>
      <c r="C101" s="379"/>
      <c r="D101" s="379"/>
      <c r="E101" s="379"/>
      <c r="F101" s="379"/>
      <c r="G101" s="380"/>
    </row>
    <row r="102" spans="1:7" s="373" customFormat="1" ht="13.8" x14ac:dyDescent="0.3">
      <c r="A102" s="378"/>
      <c r="B102" s="378"/>
      <c r="C102" s="379"/>
      <c r="D102" s="379"/>
      <c r="E102" s="379"/>
      <c r="F102" s="379"/>
      <c r="G102" s="380"/>
    </row>
    <row r="103" spans="1:7" s="373" customFormat="1" ht="13.8" x14ac:dyDescent="0.3">
      <c r="A103" s="378"/>
      <c r="B103" s="378"/>
      <c r="C103" s="379"/>
      <c r="D103" s="379"/>
      <c r="E103" s="379"/>
      <c r="F103" s="379"/>
      <c r="G103" s="380"/>
    </row>
    <row r="104" spans="1:7" s="373" customFormat="1" ht="13.8" x14ac:dyDescent="0.3">
      <c r="A104" s="378"/>
      <c r="B104" s="378"/>
      <c r="C104" s="379"/>
      <c r="D104" s="379"/>
      <c r="E104" s="379"/>
      <c r="F104" s="379"/>
      <c r="G104" s="380"/>
    </row>
    <row r="105" spans="1:7" s="373" customFormat="1" ht="13.8" x14ac:dyDescent="0.3">
      <c r="A105" s="378"/>
      <c r="B105" s="378"/>
      <c r="C105" s="379"/>
      <c r="D105" s="379"/>
      <c r="E105" s="379"/>
      <c r="F105" s="379"/>
      <c r="G105" s="380"/>
    </row>
    <row r="106" spans="1:7" s="373" customFormat="1" ht="13.8" x14ac:dyDescent="0.3">
      <c r="A106" s="378"/>
      <c r="B106" s="378"/>
      <c r="C106" s="379"/>
      <c r="D106" s="379"/>
      <c r="E106" s="379"/>
      <c r="F106" s="379"/>
      <c r="G106" s="380"/>
    </row>
    <row r="107" spans="1:7" s="373" customFormat="1" ht="13.8" x14ac:dyDescent="0.3">
      <c r="A107" s="378"/>
      <c r="B107" s="378"/>
      <c r="C107" s="379"/>
      <c r="D107" s="379"/>
      <c r="E107" s="379"/>
      <c r="F107" s="379"/>
      <c r="G107" s="380"/>
    </row>
    <row r="108" spans="1:7" s="373" customFormat="1" ht="13.8" x14ac:dyDescent="0.3">
      <c r="A108" s="378"/>
      <c r="B108" s="378"/>
      <c r="C108" s="379"/>
      <c r="D108" s="379"/>
      <c r="E108" s="379"/>
      <c r="F108" s="379"/>
      <c r="G108" s="380"/>
    </row>
    <row r="109" spans="1:7" s="373" customFormat="1" ht="13.8" x14ac:dyDescent="0.3">
      <c r="A109" s="378"/>
      <c r="B109" s="378"/>
      <c r="C109" s="379"/>
      <c r="D109" s="379"/>
      <c r="E109" s="379"/>
      <c r="F109" s="379"/>
      <c r="G109" s="380"/>
    </row>
    <row r="110" spans="1:7" s="373" customFormat="1" ht="13.8" x14ac:dyDescent="0.3">
      <c r="A110" s="378"/>
      <c r="B110" s="378"/>
      <c r="C110" s="379"/>
      <c r="D110" s="379"/>
      <c r="E110" s="379"/>
      <c r="F110" s="379"/>
      <c r="G110" s="380"/>
    </row>
    <row r="111" spans="1:7" s="373" customFormat="1" ht="13.8" x14ac:dyDescent="0.3">
      <c r="A111" s="378"/>
      <c r="B111" s="378"/>
      <c r="C111" s="379"/>
      <c r="D111" s="379"/>
      <c r="E111" s="379"/>
      <c r="F111" s="379"/>
      <c r="G111" s="380"/>
    </row>
    <row r="112" spans="1:7" s="373" customFormat="1" ht="13.8" x14ac:dyDescent="0.3">
      <c r="A112" s="378"/>
      <c r="B112" s="378"/>
      <c r="C112" s="379"/>
      <c r="D112" s="379"/>
      <c r="E112" s="379"/>
      <c r="F112" s="379"/>
      <c r="G112" s="380"/>
    </row>
    <row r="113" spans="1:7" s="373" customFormat="1" ht="13.8" x14ac:dyDescent="0.3">
      <c r="A113" s="378"/>
      <c r="B113" s="378"/>
      <c r="C113" s="379"/>
      <c r="D113" s="379"/>
      <c r="E113" s="379"/>
      <c r="F113" s="379"/>
      <c r="G113" s="380"/>
    </row>
    <row r="114" spans="1:7" s="373" customFormat="1" ht="13.8" x14ac:dyDescent="0.3">
      <c r="A114" s="378"/>
      <c r="B114" s="378"/>
      <c r="C114" s="379"/>
      <c r="D114" s="379"/>
      <c r="E114" s="379"/>
      <c r="F114" s="379"/>
      <c r="G114" s="380"/>
    </row>
    <row r="115" spans="1:7" s="373" customFormat="1" ht="13.8" x14ac:dyDescent="0.3">
      <c r="A115" s="378"/>
      <c r="B115" s="378"/>
      <c r="C115" s="379"/>
      <c r="D115" s="379"/>
      <c r="E115" s="379"/>
      <c r="F115" s="379"/>
      <c r="G115" s="380"/>
    </row>
    <row r="116" spans="1:7" s="373" customFormat="1" ht="13.8" x14ac:dyDescent="0.3">
      <c r="A116" s="378"/>
      <c r="B116" s="378"/>
      <c r="C116" s="379"/>
      <c r="D116" s="379"/>
      <c r="E116" s="379"/>
      <c r="F116" s="379"/>
      <c r="G116" s="380"/>
    </row>
    <row r="117" spans="1:7" s="373" customFormat="1" ht="13.8" x14ac:dyDescent="0.3">
      <c r="A117" s="378"/>
      <c r="B117" s="378"/>
      <c r="C117" s="379"/>
      <c r="D117" s="379"/>
      <c r="E117" s="379"/>
      <c r="F117" s="379"/>
      <c r="G117" s="380"/>
    </row>
    <row r="118" spans="1:7" s="373" customFormat="1" ht="13.8" x14ac:dyDescent="0.3">
      <c r="A118" s="378"/>
      <c r="B118" s="378"/>
      <c r="C118" s="379"/>
      <c r="D118" s="379"/>
      <c r="E118" s="379"/>
      <c r="F118" s="379"/>
      <c r="G118" s="380"/>
    </row>
    <row r="119" spans="1:7" s="373" customFormat="1" ht="13.8" x14ac:dyDescent="0.3">
      <c r="A119" s="378"/>
      <c r="B119" s="378"/>
      <c r="C119" s="379"/>
      <c r="D119" s="379"/>
      <c r="E119" s="379"/>
      <c r="F119" s="379"/>
      <c r="G119" s="380"/>
    </row>
    <row r="120" spans="1:7" s="373" customFormat="1" ht="13.8" x14ac:dyDescent="0.3">
      <c r="A120" s="378"/>
      <c r="B120" s="378"/>
      <c r="C120" s="379"/>
      <c r="D120" s="379"/>
      <c r="E120" s="379"/>
      <c r="F120" s="379"/>
      <c r="G120" s="380"/>
    </row>
    <row r="121" spans="1:7" s="373" customFormat="1" ht="13.8" x14ac:dyDescent="0.3">
      <c r="A121" s="378"/>
      <c r="B121" s="378"/>
      <c r="C121" s="379"/>
      <c r="D121" s="379"/>
      <c r="E121" s="379"/>
      <c r="F121" s="379"/>
      <c r="G121" s="380"/>
    </row>
    <row r="122" spans="1:7" s="373" customFormat="1" ht="13.8" x14ac:dyDescent="0.3">
      <c r="A122" s="378"/>
      <c r="B122" s="378"/>
      <c r="C122" s="379"/>
      <c r="D122" s="379"/>
      <c r="E122" s="379"/>
      <c r="F122" s="379"/>
      <c r="G122" s="380"/>
    </row>
    <row r="123" spans="1:7" s="373" customFormat="1" ht="13.8" x14ac:dyDescent="0.3">
      <c r="A123" s="378"/>
      <c r="B123" s="378"/>
      <c r="C123" s="379"/>
      <c r="D123" s="379"/>
      <c r="E123" s="379"/>
      <c r="F123" s="379"/>
      <c r="G123" s="380"/>
    </row>
    <row r="124" spans="1:7" s="373" customFormat="1" ht="13.8" x14ac:dyDescent="0.3">
      <c r="A124" s="378"/>
      <c r="B124" s="378"/>
      <c r="C124" s="379"/>
      <c r="D124" s="379"/>
      <c r="E124" s="379"/>
      <c r="F124" s="379"/>
      <c r="G124" s="380"/>
    </row>
    <row r="125" spans="1:7" s="373" customFormat="1" ht="13.8" x14ac:dyDescent="0.3">
      <c r="A125" s="378"/>
      <c r="B125" s="378"/>
      <c r="C125" s="379"/>
      <c r="D125" s="379"/>
      <c r="E125" s="379"/>
      <c r="F125" s="379"/>
      <c r="G125" s="380"/>
    </row>
    <row r="126" spans="1:7" s="373" customFormat="1" ht="13.8" x14ac:dyDescent="0.3">
      <c r="A126" s="378"/>
      <c r="B126" s="378"/>
      <c r="C126" s="379"/>
      <c r="D126" s="379"/>
      <c r="E126" s="379"/>
      <c r="F126" s="379"/>
      <c r="G126" s="380"/>
    </row>
    <row r="127" spans="1:7" s="373" customFormat="1" ht="13.8" x14ac:dyDescent="0.3">
      <c r="A127" s="378"/>
      <c r="B127" s="378"/>
      <c r="C127" s="379"/>
      <c r="D127" s="379"/>
      <c r="E127" s="379"/>
      <c r="F127" s="379"/>
      <c r="G127" s="380"/>
    </row>
    <row r="128" spans="1:7" s="373" customFormat="1" ht="13.8" x14ac:dyDescent="0.3">
      <c r="A128" s="378"/>
      <c r="B128" s="378"/>
      <c r="C128" s="379"/>
      <c r="D128" s="379"/>
      <c r="E128" s="379"/>
      <c r="F128" s="379"/>
      <c r="G128" s="380"/>
    </row>
    <row r="129" spans="1:7" s="373" customFormat="1" ht="13.8" x14ac:dyDescent="0.3">
      <c r="A129" s="378"/>
      <c r="B129" s="378"/>
      <c r="C129" s="379"/>
      <c r="D129" s="379"/>
      <c r="E129" s="379"/>
      <c r="F129" s="379"/>
      <c r="G129" s="380"/>
    </row>
    <row r="130" spans="1:7" s="373" customFormat="1" ht="13.8" x14ac:dyDescent="0.3">
      <c r="A130" s="378"/>
      <c r="B130" s="378"/>
      <c r="C130" s="379"/>
      <c r="D130" s="379"/>
      <c r="E130" s="379"/>
      <c r="F130" s="379"/>
      <c r="G130" s="380"/>
    </row>
    <row r="131" spans="1:7" s="373" customFormat="1" ht="13.8" x14ac:dyDescent="0.3">
      <c r="A131" s="378"/>
      <c r="B131" s="378"/>
      <c r="C131" s="379"/>
      <c r="D131" s="379"/>
      <c r="E131" s="379"/>
      <c r="F131" s="379"/>
      <c r="G131" s="380"/>
    </row>
    <row r="132" spans="1:7" s="373" customFormat="1" ht="13.8" x14ac:dyDescent="0.3">
      <c r="A132" s="378"/>
      <c r="B132" s="378"/>
      <c r="C132" s="379"/>
      <c r="D132" s="379"/>
      <c r="E132" s="379"/>
      <c r="F132" s="379"/>
      <c r="G132" s="380"/>
    </row>
    <row r="133" spans="1:7" s="373" customFormat="1" ht="13.8" x14ac:dyDescent="0.3">
      <c r="A133" s="378"/>
      <c r="B133" s="378"/>
      <c r="C133" s="379"/>
      <c r="D133" s="379"/>
      <c r="E133" s="379"/>
      <c r="F133" s="379"/>
      <c r="G133" s="380"/>
    </row>
    <row r="134" spans="1:7" s="373" customFormat="1" ht="13.8" x14ac:dyDescent="0.3">
      <c r="A134" s="378"/>
      <c r="B134" s="378"/>
      <c r="C134" s="379"/>
      <c r="D134" s="379"/>
      <c r="E134" s="379"/>
      <c r="F134" s="379"/>
      <c r="G134" s="380"/>
    </row>
    <row r="135" spans="1:7" s="373" customFormat="1" ht="13.8" x14ac:dyDescent="0.3">
      <c r="A135" s="378"/>
      <c r="B135" s="378"/>
      <c r="C135" s="379"/>
      <c r="D135" s="379"/>
      <c r="E135" s="379"/>
      <c r="F135" s="379"/>
      <c r="G135" s="380"/>
    </row>
    <row r="136" spans="1:7" s="373" customFormat="1" ht="13.8" x14ac:dyDescent="0.3">
      <c r="A136" s="378"/>
      <c r="B136" s="378"/>
      <c r="C136" s="379"/>
      <c r="D136" s="379"/>
      <c r="E136" s="379"/>
      <c r="F136" s="379"/>
      <c r="G136" s="380"/>
    </row>
    <row r="137" spans="1:7" s="373" customFormat="1" ht="13.8" x14ac:dyDescent="0.3">
      <c r="A137" s="378"/>
      <c r="B137" s="378"/>
      <c r="C137" s="379"/>
      <c r="D137" s="379"/>
      <c r="E137" s="379"/>
      <c r="F137" s="379"/>
      <c r="G137" s="380"/>
    </row>
    <row r="138" spans="1:7" s="373" customFormat="1" ht="13.8" x14ac:dyDescent="0.3">
      <c r="A138" s="378"/>
      <c r="B138" s="378"/>
      <c r="C138" s="379"/>
      <c r="D138" s="379"/>
      <c r="E138" s="379"/>
      <c r="F138" s="379"/>
      <c r="G138" s="380"/>
    </row>
    <row r="139" spans="1:7" s="373" customFormat="1" ht="13.8" x14ac:dyDescent="0.3">
      <c r="A139" s="378"/>
      <c r="B139" s="378"/>
      <c r="C139" s="379"/>
      <c r="D139" s="379"/>
      <c r="E139" s="379"/>
      <c r="F139" s="379"/>
      <c r="G139" s="380"/>
    </row>
    <row r="140" spans="1:7" s="373" customFormat="1" ht="13.8" x14ac:dyDescent="0.3">
      <c r="A140" s="378"/>
      <c r="B140" s="378"/>
      <c r="C140" s="379"/>
      <c r="D140" s="379"/>
      <c r="E140" s="379"/>
      <c r="F140" s="379"/>
      <c r="G140" s="380"/>
    </row>
    <row r="141" spans="1:7" s="373" customFormat="1" ht="13.8" x14ac:dyDescent="0.3">
      <c r="A141" s="378"/>
      <c r="B141" s="378"/>
      <c r="C141" s="379"/>
      <c r="D141" s="379"/>
      <c r="E141" s="379"/>
      <c r="F141" s="379"/>
      <c r="G141" s="380"/>
    </row>
    <row r="142" spans="1:7" s="373" customFormat="1" ht="13.8" x14ac:dyDescent="0.3">
      <c r="A142" s="378"/>
      <c r="B142" s="378"/>
      <c r="C142" s="379"/>
      <c r="D142" s="379"/>
      <c r="E142" s="379"/>
      <c r="F142" s="379"/>
      <c r="G142" s="380"/>
    </row>
    <row r="143" spans="1:7" s="373" customFormat="1" ht="13.8" x14ac:dyDescent="0.3">
      <c r="A143" s="378"/>
      <c r="B143" s="378"/>
      <c r="C143" s="379"/>
      <c r="D143" s="379"/>
      <c r="E143" s="379"/>
      <c r="F143" s="379"/>
      <c r="G143" s="380"/>
    </row>
    <row r="144" spans="1:7" s="373" customFormat="1" ht="13.8" x14ac:dyDescent="0.3">
      <c r="A144" s="378"/>
      <c r="B144" s="378"/>
      <c r="C144" s="379"/>
      <c r="D144" s="379"/>
      <c r="E144" s="379"/>
      <c r="F144" s="379"/>
      <c r="G144" s="380"/>
    </row>
    <row r="145" spans="1:7" s="373" customFormat="1" ht="13.8" x14ac:dyDescent="0.3">
      <c r="A145" s="378"/>
      <c r="B145" s="378"/>
      <c r="C145" s="379"/>
      <c r="D145" s="379"/>
      <c r="E145" s="379"/>
      <c r="F145" s="379"/>
      <c r="G145" s="380"/>
    </row>
    <row r="146" spans="1:7" s="373" customFormat="1" ht="13.8" x14ac:dyDescent="0.3">
      <c r="A146" s="378"/>
      <c r="B146" s="378"/>
      <c r="C146" s="379"/>
      <c r="D146" s="379"/>
      <c r="E146" s="379"/>
      <c r="F146" s="379"/>
      <c r="G146" s="380"/>
    </row>
    <row r="147" spans="1:7" s="373" customFormat="1" ht="13.8" x14ac:dyDescent="0.3">
      <c r="A147" s="378"/>
      <c r="B147" s="378"/>
      <c r="C147" s="379"/>
      <c r="D147" s="379"/>
      <c r="E147" s="379"/>
      <c r="F147" s="379"/>
      <c r="G147" s="380"/>
    </row>
    <row r="148" spans="1:7" s="373" customFormat="1" ht="13.8" x14ac:dyDescent="0.3">
      <c r="A148" s="378"/>
      <c r="B148" s="378"/>
      <c r="C148" s="379"/>
      <c r="D148" s="379"/>
      <c r="E148" s="379"/>
      <c r="F148" s="379"/>
      <c r="G148" s="380"/>
    </row>
    <row r="149" spans="1:7" s="373" customFormat="1" ht="13.8" x14ac:dyDescent="0.3">
      <c r="A149" s="378"/>
      <c r="B149" s="378"/>
      <c r="C149" s="379"/>
      <c r="D149" s="379"/>
      <c r="E149" s="379"/>
      <c r="F149" s="379"/>
      <c r="G149" s="380"/>
    </row>
    <row r="150" spans="1:7" s="373" customFormat="1" ht="13.8" x14ac:dyDescent="0.3">
      <c r="A150" s="378"/>
      <c r="B150" s="378"/>
      <c r="C150" s="379"/>
      <c r="D150" s="379"/>
      <c r="E150" s="379"/>
      <c r="F150" s="379"/>
      <c r="G150" s="380"/>
    </row>
    <row r="151" spans="1:7" s="373" customFormat="1" ht="13.8" x14ac:dyDescent="0.3">
      <c r="A151" s="378"/>
      <c r="B151" s="378"/>
      <c r="C151" s="379"/>
      <c r="D151" s="379"/>
      <c r="E151" s="379"/>
      <c r="F151" s="379"/>
      <c r="G151" s="380"/>
    </row>
    <row r="152" spans="1:7" s="373" customFormat="1" ht="13.8" x14ac:dyDescent="0.3">
      <c r="A152" s="378"/>
      <c r="B152" s="378"/>
      <c r="C152" s="379"/>
      <c r="D152" s="379"/>
      <c r="E152" s="379"/>
      <c r="F152" s="379"/>
      <c r="G152" s="380"/>
    </row>
    <row r="153" spans="1:7" s="373" customFormat="1" ht="13.8" x14ac:dyDescent="0.3">
      <c r="A153" s="378"/>
      <c r="B153" s="378"/>
      <c r="C153" s="379"/>
      <c r="D153" s="379"/>
      <c r="E153" s="379"/>
      <c r="F153" s="379"/>
      <c r="G153" s="380"/>
    </row>
    <row r="154" spans="1:7" s="373" customFormat="1" ht="13.8" x14ac:dyDescent="0.3">
      <c r="A154" s="378"/>
      <c r="B154" s="378"/>
      <c r="C154" s="379"/>
      <c r="D154" s="379"/>
      <c r="E154" s="379"/>
      <c r="F154" s="379"/>
      <c r="G154" s="380"/>
    </row>
    <row r="155" spans="1:7" s="373" customFormat="1" ht="13.8" x14ac:dyDescent="0.3">
      <c r="A155" s="378"/>
      <c r="B155" s="378"/>
      <c r="C155" s="379"/>
      <c r="D155" s="379"/>
      <c r="E155" s="379"/>
      <c r="F155" s="379"/>
      <c r="G155" s="380"/>
    </row>
    <row r="156" spans="1:7" s="373" customFormat="1" ht="13.8" x14ac:dyDescent="0.3">
      <c r="A156" s="378"/>
      <c r="B156" s="378"/>
      <c r="C156" s="379"/>
      <c r="D156" s="379"/>
      <c r="E156" s="379"/>
      <c r="F156" s="379"/>
      <c r="G156" s="380"/>
    </row>
    <row r="157" spans="1:7" s="373" customFormat="1" ht="13.8" x14ac:dyDescent="0.3">
      <c r="A157" s="378"/>
      <c r="B157" s="378"/>
      <c r="C157" s="379"/>
      <c r="D157" s="379"/>
      <c r="E157" s="379"/>
      <c r="F157" s="379"/>
      <c r="G157" s="380"/>
    </row>
    <row r="158" spans="1:7" s="373" customFormat="1" ht="13.8" x14ac:dyDescent="0.3">
      <c r="A158" s="378"/>
      <c r="B158" s="378"/>
      <c r="C158" s="379"/>
      <c r="D158" s="379"/>
      <c r="E158" s="379"/>
      <c r="F158" s="379"/>
      <c r="G158" s="380"/>
    </row>
    <row r="159" spans="1:7" s="373" customFormat="1" ht="13.8" x14ac:dyDescent="0.3">
      <c r="A159" s="378"/>
      <c r="B159" s="378"/>
      <c r="C159" s="379"/>
      <c r="D159" s="379"/>
      <c r="E159" s="379"/>
      <c r="F159" s="379"/>
      <c r="G159" s="380"/>
    </row>
    <row r="160" spans="1:7" s="373" customFormat="1" ht="13.8" x14ac:dyDescent="0.3">
      <c r="A160" s="378"/>
      <c r="B160" s="378"/>
      <c r="C160" s="379"/>
      <c r="D160" s="379"/>
      <c r="E160" s="379"/>
      <c r="F160" s="379"/>
      <c r="G160" s="380"/>
    </row>
    <row r="161" spans="1:7" s="373" customFormat="1" ht="13.8" x14ac:dyDescent="0.3">
      <c r="A161" s="378"/>
      <c r="B161" s="378"/>
      <c r="C161" s="379"/>
      <c r="D161" s="379"/>
      <c r="E161" s="379"/>
      <c r="F161" s="379"/>
      <c r="G161" s="380"/>
    </row>
    <row r="162" spans="1:7" s="373" customFormat="1" ht="13.8" x14ac:dyDescent="0.3">
      <c r="A162" s="378"/>
      <c r="B162" s="378"/>
      <c r="C162" s="379"/>
      <c r="D162" s="379"/>
      <c r="E162" s="379"/>
      <c r="F162" s="379"/>
      <c r="G162" s="380"/>
    </row>
    <row r="163" spans="1:7" s="373" customFormat="1" ht="13.8" x14ac:dyDescent="0.3">
      <c r="A163" s="378"/>
      <c r="B163" s="378"/>
      <c r="C163" s="379"/>
      <c r="D163" s="379"/>
      <c r="E163" s="379"/>
      <c r="F163" s="379"/>
      <c r="G163" s="380"/>
    </row>
    <row r="164" spans="1:7" s="373" customFormat="1" ht="13.8" x14ac:dyDescent="0.3">
      <c r="A164" s="378"/>
      <c r="B164" s="378"/>
      <c r="C164" s="379"/>
      <c r="D164" s="379"/>
      <c r="E164" s="379"/>
      <c r="F164" s="379"/>
      <c r="G164" s="380"/>
    </row>
    <row r="165" spans="1:7" s="373" customFormat="1" ht="13.8" x14ac:dyDescent="0.3">
      <c r="A165" s="378"/>
      <c r="B165" s="378"/>
      <c r="C165" s="379"/>
      <c r="D165" s="379"/>
      <c r="E165" s="379"/>
      <c r="F165" s="379"/>
      <c r="G165" s="380"/>
    </row>
    <row r="166" spans="1:7" s="373" customFormat="1" ht="13.8" x14ac:dyDescent="0.3">
      <c r="A166" s="378"/>
      <c r="B166" s="378"/>
      <c r="C166" s="379"/>
      <c r="D166" s="379"/>
      <c r="E166" s="379"/>
      <c r="F166" s="379"/>
      <c r="G166" s="380"/>
    </row>
    <row r="167" spans="1:7" s="373" customFormat="1" ht="13.8" x14ac:dyDescent="0.3">
      <c r="A167" s="378"/>
      <c r="B167" s="378"/>
      <c r="C167" s="379"/>
      <c r="D167" s="379"/>
      <c r="E167" s="379"/>
      <c r="F167" s="379"/>
      <c r="G167" s="380"/>
    </row>
    <row r="168" spans="1:7" s="373" customFormat="1" ht="13.8" x14ac:dyDescent="0.3">
      <c r="A168" s="378"/>
      <c r="B168" s="378"/>
      <c r="C168" s="379"/>
      <c r="D168" s="379"/>
      <c r="E168" s="379"/>
      <c r="F168" s="379"/>
      <c r="G168" s="380"/>
    </row>
    <row r="169" spans="1:7" s="373" customFormat="1" ht="13.8" x14ac:dyDescent="0.3">
      <c r="A169" s="378"/>
      <c r="B169" s="378"/>
      <c r="C169" s="379"/>
      <c r="D169" s="379"/>
      <c r="E169" s="379"/>
      <c r="F169" s="379"/>
      <c r="G169" s="380"/>
    </row>
    <row r="170" spans="1:7" s="373" customFormat="1" ht="13.8" x14ac:dyDescent="0.3">
      <c r="A170" s="378"/>
      <c r="B170" s="378"/>
      <c r="C170" s="379"/>
      <c r="D170" s="379"/>
      <c r="E170" s="379"/>
      <c r="F170" s="379"/>
      <c r="G170" s="380"/>
    </row>
    <row r="171" spans="1:7" s="373" customFormat="1" ht="13.8" x14ac:dyDescent="0.3">
      <c r="A171" s="378"/>
      <c r="B171" s="378"/>
      <c r="C171" s="379"/>
      <c r="D171" s="379"/>
      <c r="E171" s="379"/>
      <c r="F171" s="379"/>
      <c r="G171" s="380"/>
    </row>
    <row r="172" spans="1:7" s="373" customFormat="1" ht="13.8" x14ac:dyDescent="0.3">
      <c r="A172" s="378"/>
      <c r="B172" s="378"/>
      <c r="C172" s="379"/>
      <c r="D172" s="379"/>
      <c r="E172" s="379"/>
      <c r="F172" s="379"/>
      <c r="G172" s="380"/>
    </row>
    <row r="173" spans="1:7" s="373" customFormat="1" ht="13.8" x14ac:dyDescent="0.3">
      <c r="A173" s="378"/>
      <c r="B173" s="378"/>
      <c r="C173" s="379"/>
      <c r="D173" s="379"/>
      <c r="E173" s="379"/>
      <c r="F173" s="379"/>
      <c r="G173" s="380"/>
    </row>
    <row r="174" spans="1:7" s="373" customFormat="1" ht="13.8" x14ac:dyDescent="0.3">
      <c r="A174" s="378"/>
      <c r="B174" s="378"/>
      <c r="C174" s="379"/>
      <c r="D174" s="379"/>
      <c r="E174" s="379"/>
      <c r="F174" s="379"/>
      <c r="G174" s="380"/>
    </row>
    <row r="175" spans="1:7" s="373" customFormat="1" ht="13.8" x14ac:dyDescent="0.3">
      <c r="A175" s="378"/>
      <c r="B175" s="378"/>
      <c r="C175" s="379"/>
      <c r="D175" s="379"/>
      <c r="E175" s="379"/>
      <c r="F175" s="379"/>
      <c r="G175" s="380"/>
    </row>
    <row r="176" spans="1:7" s="373" customFormat="1" ht="13.8" x14ac:dyDescent="0.3">
      <c r="A176" s="378"/>
      <c r="B176" s="378"/>
      <c r="C176" s="379"/>
      <c r="D176" s="379"/>
      <c r="E176" s="379"/>
      <c r="F176" s="379"/>
      <c r="G176" s="380"/>
    </row>
    <row r="177" spans="1:7" s="373" customFormat="1" ht="13.8" x14ac:dyDescent="0.3">
      <c r="A177" s="378"/>
      <c r="B177" s="378"/>
      <c r="C177" s="379"/>
      <c r="D177" s="379"/>
      <c r="E177" s="379"/>
      <c r="F177" s="379"/>
      <c r="G177" s="380"/>
    </row>
    <row r="178" spans="1:7" s="373" customFormat="1" ht="13.8" x14ac:dyDescent="0.3">
      <c r="A178" s="378"/>
      <c r="B178" s="378"/>
      <c r="C178" s="379"/>
      <c r="D178" s="379"/>
      <c r="E178" s="379"/>
      <c r="F178" s="379"/>
      <c r="G178" s="380"/>
    </row>
    <row r="179" spans="1:7" s="373" customFormat="1" ht="13.8" x14ac:dyDescent="0.3">
      <c r="A179" s="378"/>
      <c r="B179" s="378"/>
      <c r="C179" s="379"/>
      <c r="D179" s="379"/>
      <c r="E179" s="379"/>
      <c r="F179" s="379"/>
      <c r="G179" s="380"/>
    </row>
    <row r="180" spans="1:7" s="373" customFormat="1" ht="13.8" x14ac:dyDescent="0.3">
      <c r="A180" s="378"/>
      <c r="B180" s="378"/>
      <c r="C180" s="379"/>
      <c r="D180" s="379"/>
      <c r="E180" s="379"/>
      <c r="F180" s="379"/>
      <c r="G180" s="380"/>
    </row>
    <row r="181" spans="1:7" s="373" customFormat="1" ht="13.8" x14ac:dyDescent="0.3">
      <c r="A181" s="378"/>
      <c r="B181" s="378"/>
      <c r="C181" s="379"/>
      <c r="D181" s="379"/>
      <c r="E181" s="379"/>
      <c r="F181" s="379"/>
      <c r="G181" s="380"/>
    </row>
    <row r="182" spans="1:7" s="373" customFormat="1" ht="13.8" x14ac:dyDescent="0.3">
      <c r="A182" s="378"/>
      <c r="B182" s="378"/>
      <c r="C182" s="379"/>
      <c r="D182" s="379"/>
      <c r="E182" s="379"/>
      <c r="F182" s="379"/>
      <c r="G182" s="380"/>
    </row>
    <row r="183" spans="1:7" s="373" customFormat="1" ht="13.8" x14ac:dyDescent="0.3">
      <c r="A183" s="378"/>
      <c r="B183" s="378"/>
      <c r="C183" s="379"/>
      <c r="D183" s="379"/>
      <c r="E183" s="379"/>
      <c r="F183" s="379"/>
      <c r="G183" s="380"/>
    </row>
    <row r="184" spans="1:7" s="373" customFormat="1" ht="13.8" x14ac:dyDescent="0.3">
      <c r="A184" s="378"/>
      <c r="B184" s="378"/>
      <c r="C184" s="379"/>
      <c r="D184" s="379"/>
      <c r="E184" s="379"/>
      <c r="F184" s="379"/>
      <c r="G184" s="380"/>
    </row>
    <row r="185" spans="1:7" s="373" customFormat="1" ht="13.8" x14ac:dyDescent="0.3">
      <c r="A185" s="378"/>
      <c r="B185" s="378"/>
      <c r="C185" s="379"/>
      <c r="D185" s="379"/>
      <c r="E185" s="379"/>
      <c r="F185" s="379"/>
      <c r="G185" s="380"/>
    </row>
    <row r="186" spans="1:7" s="373" customFormat="1" ht="13.8" x14ac:dyDescent="0.3">
      <c r="A186" s="378"/>
      <c r="B186" s="378"/>
      <c r="C186" s="379"/>
      <c r="D186" s="379"/>
      <c r="E186" s="379"/>
      <c r="F186" s="379"/>
      <c r="G186" s="380"/>
    </row>
    <row r="187" spans="1:7" s="373" customFormat="1" ht="13.8" x14ac:dyDescent="0.3">
      <c r="A187" s="378"/>
      <c r="B187" s="378"/>
      <c r="C187" s="379"/>
      <c r="D187" s="379"/>
      <c r="E187" s="379"/>
      <c r="F187" s="379"/>
      <c r="G187" s="380"/>
    </row>
    <row r="188" spans="1:7" s="373" customFormat="1" ht="13.8" x14ac:dyDescent="0.3">
      <c r="A188" s="378"/>
      <c r="B188" s="378"/>
      <c r="C188" s="379"/>
      <c r="D188" s="379"/>
      <c r="E188" s="379"/>
      <c r="F188" s="379"/>
      <c r="G188" s="380"/>
    </row>
    <row r="189" spans="1:7" s="373" customFormat="1" ht="13.8" x14ac:dyDescent="0.3">
      <c r="A189" s="378"/>
      <c r="B189" s="378"/>
      <c r="C189" s="379"/>
      <c r="D189" s="379"/>
      <c r="E189" s="379"/>
      <c r="F189" s="379"/>
      <c r="G189" s="380"/>
    </row>
    <row r="190" spans="1:7" s="373" customFormat="1" ht="13.8" x14ac:dyDescent="0.3">
      <c r="A190" s="378"/>
      <c r="B190" s="378"/>
      <c r="C190" s="379"/>
      <c r="D190" s="379"/>
      <c r="E190" s="379"/>
      <c r="F190" s="379"/>
      <c r="G190" s="380"/>
    </row>
    <row r="191" spans="1:7" s="373" customFormat="1" ht="13.8" x14ac:dyDescent="0.3">
      <c r="A191" s="378"/>
      <c r="B191" s="378"/>
      <c r="C191" s="379"/>
      <c r="D191" s="379"/>
      <c r="E191" s="379"/>
      <c r="F191" s="379"/>
      <c r="G191" s="380"/>
    </row>
    <row r="192" spans="1:7" s="373" customFormat="1" ht="13.8" x14ac:dyDescent="0.3">
      <c r="A192" s="378"/>
      <c r="B192" s="378"/>
      <c r="C192" s="379"/>
      <c r="D192" s="379"/>
      <c r="E192" s="379"/>
      <c r="F192" s="379"/>
      <c r="G192" s="380"/>
    </row>
    <row r="193" spans="1:7" s="373" customFormat="1" ht="13.8" x14ac:dyDescent="0.3">
      <c r="A193" s="378"/>
      <c r="B193" s="378"/>
      <c r="C193" s="379"/>
      <c r="D193" s="379"/>
      <c r="E193" s="379"/>
      <c r="F193" s="379"/>
      <c r="G193" s="380"/>
    </row>
    <row r="194" spans="1:7" s="373" customFormat="1" ht="13.8" x14ac:dyDescent="0.3">
      <c r="A194" s="378"/>
      <c r="B194" s="378"/>
      <c r="C194" s="379"/>
      <c r="D194" s="379"/>
      <c r="E194" s="379"/>
      <c r="F194" s="379"/>
      <c r="G194" s="380"/>
    </row>
    <row r="195" spans="1:7" s="373" customFormat="1" ht="13.8" x14ac:dyDescent="0.3">
      <c r="A195" s="378"/>
      <c r="B195" s="378"/>
      <c r="C195" s="379"/>
      <c r="D195" s="379"/>
      <c r="E195" s="379"/>
      <c r="F195" s="379"/>
      <c r="G195" s="380"/>
    </row>
    <row r="196" spans="1:7" s="373" customFormat="1" ht="13.8" x14ac:dyDescent="0.3">
      <c r="A196" s="378"/>
      <c r="B196" s="378"/>
      <c r="C196" s="379"/>
      <c r="D196" s="379"/>
      <c r="E196" s="379"/>
      <c r="F196" s="379"/>
      <c r="G196" s="380"/>
    </row>
    <row r="197" spans="1:7" s="373" customFormat="1" ht="13.8" x14ac:dyDescent="0.3">
      <c r="A197" s="378"/>
      <c r="B197" s="378"/>
      <c r="C197" s="379"/>
      <c r="D197" s="379"/>
      <c r="E197" s="379"/>
      <c r="F197" s="379"/>
      <c r="G197" s="380"/>
    </row>
    <row r="198" spans="1:7" s="373" customFormat="1" ht="13.8" x14ac:dyDescent="0.3">
      <c r="A198" s="378"/>
      <c r="B198" s="378"/>
      <c r="C198" s="379"/>
      <c r="D198" s="379"/>
      <c r="E198" s="379"/>
      <c r="F198" s="379"/>
      <c r="G198" s="380"/>
    </row>
    <row r="199" spans="1:7" s="373" customFormat="1" ht="13.8" x14ac:dyDescent="0.3">
      <c r="A199" s="378"/>
      <c r="B199" s="378"/>
      <c r="C199" s="379"/>
      <c r="D199" s="379"/>
      <c r="E199" s="379"/>
      <c r="F199" s="379"/>
      <c r="G199" s="380"/>
    </row>
    <row r="200" spans="1:7" s="373" customFormat="1" ht="13.8" x14ac:dyDescent="0.3">
      <c r="A200" s="378"/>
      <c r="B200" s="378"/>
      <c r="C200" s="379"/>
      <c r="D200" s="379"/>
      <c r="E200" s="379"/>
      <c r="F200" s="379"/>
      <c r="G200" s="380"/>
    </row>
    <row r="201" spans="1:7" s="373" customFormat="1" ht="13.8" x14ac:dyDescent="0.3">
      <c r="A201" s="378"/>
      <c r="B201" s="378"/>
      <c r="C201" s="379"/>
      <c r="D201" s="379"/>
      <c r="E201" s="379"/>
      <c r="F201" s="379"/>
      <c r="G201" s="380"/>
    </row>
    <row r="202" spans="1:7" s="373" customFormat="1" ht="13.8" x14ac:dyDescent="0.3">
      <c r="A202" s="378"/>
      <c r="B202" s="378"/>
      <c r="C202" s="379"/>
      <c r="D202" s="379"/>
      <c r="E202" s="379"/>
      <c r="F202" s="379"/>
      <c r="G202" s="380"/>
    </row>
    <row r="203" spans="1:7" s="373" customFormat="1" ht="13.8" x14ac:dyDescent="0.3">
      <c r="A203" s="378"/>
      <c r="B203" s="378"/>
      <c r="C203" s="379"/>
      <c r="D203" s="379"/>
      <c r="E203" s="379"/>
      <c r="F203" s="379"/>
      <c r="G203" s="380"/>
    </row>
    <row r="204" spans="1:7" s="373" customFormat="1" ht="13.8" x14ac:dyDescent="0.3">
      <c r="A204" s="378"/>
      <c r="B204" s="378"/>
      <c r="C204" s="379"/>
      <c r="D204" s="379"/>
      <c r="E204" s="379"/>
      <c r="F204" s="379"/>
      <c r="G204" s="380"/>
    </row>
    <row r="205" spans="1:7" s="373" customFormat="1" ht="13.8" x14ac:dyDescent="0.3">
      <c r="A205" s="378"/>
      <c r="B205" s="378"/>
      <c r="C205" s="379"/>
      <c r="D205" s="379"/>
      <c r="E205" s="379"/>
      <c r="F205" s="379"/>
      <c r="G205" s="380"/>
    </row>
    <row r="206" spans="1:7" s="373" customFormat="1" ht="13.8" x14ac:dyDescent="0.3">
      <c r="A206" s="378"/>
      <c r="B206" s="378"/>
      <c r="C206" s="379"/>
      <c r="D206" s="379"/>
      <c r="E206" s="379"/>
      <c r="F206" s="379"/>
      <c r="G206" s="380"/>
    </row>
    <row r="207" spans="1:7" s="373" customFormat="1" ht="13.8" x14ac:dyDescent="0.3">
      <c r="A207" s="378"/>
      <c r="B207" s="378"/>
      <c r="C207" s="379"/>
      <c r="D207" s="379"/>
      <c r="E207" s="379"/>
      <c r="F207" s="379"/>
      <c r="G207" s="380"/>
    </row>
    <row r="208" spans="1:7" s="373" customFormat="1" ht="13.8" x14ac:dyDescent="0.3">
      <c r="A208" s="378"/>
      <c r="B208" s="378"/>
      <c r="C208" s="379"/>
      <c r="D208" s="379"/>
      <c r="E208" s="379"/>
      <c r="F208" s="379"/>
      <c r="G208" s="380"/>
    </row>
    <row r="209" spans="1:7" s="373" customFormat="1" ht="13.8" x14ac:dyDescent="0.3">
      <c r="A209" s="378"/>
      <c r="B209" s="378"/>
      <c r="C209" s="379"/>
      <c r="D209" s="379"/>
      <c r="E209" s="379"/>
      <c r="F209" s="379"/>
      <c r="G209" s="380"/>
    </row>
    <row r="210" spans="1:7" s="373" customFormat="1" ht="13.8" x14ac:dyDescent="0.3">
      <c r="A210" s="378"/>
      <c r="B210" s="378"/>
      <c r="C210" s="379"/>
      <c r="D210" s="379"/>
      <c r="E210" s="379"/>
      <c r="F210" s="379"/>
      <c r="G210" s="380"/>
    </row>
    <row r="211" spans="1:7" s="373" customFormat="1" ht="13.8" x14ac:dyDescent="0.3">
      <c r="A211" s="378"/>
      <c r="B211" s="378"/>
      <c r="C211" s="379"/>
      <c r="D211" s="379"/>
      <c r="E211" s="379"/>
      <c r="F211" s="379"/>
      <c r="G211" s="380"/>
    </row>
    <row r="212" spans="1:7" s="373" customFormat="1" ht="13.8" x14ac:dyDescent="0.3">
      <c r="A212" s="378"/>
      <c r="B212" s="378"/>
      <c r="C212" s="379"/>
      <c r="D212" s="379"/>
      <c r="E212" s="379"/>
      <c r="F212" s="379"/>
      <c r="G212" s="380"/>
    </row>
    <row r="213" spans="1:7" s="373" customFormat="1" ht="13.8" x14ac:dyDescent="0.3">
      <c r="A213" s="378"/>
      <c r="B213" s="378"/>
      <c r="C213" s="379"/>
      <c r="D213" s="379"/>
      <c r="E213" s="379"/>
      <c r="F213" s="379"/>
      <c r="G213" s="380"/>
    </row>
    <row r="214" spans="1:7" s="373" customFormat="1" ht="13.8" x14ac:dyDescent="0.3">
      <c r="A214" s="378"/>
      <c r="B214" s="378"/>
      <c r="C214" s="379"/>
      <c r="D214" s="379"/>
      <c r="E214" s="379"/>
      <c r="F214" s="379"/>
      <c r="G214" s="380"/>
    </row>
    <row r="215" spans="1:7" s="373" customFormat="1" ht="13.8" x14ac:dyDescent="0.3">
      <c r="A215" s="378"/>
      <c r="B215" s="378"/>
      <c r="C215" s="379"/>
      <c r="D215" s="379"/>
      <c r="E215" s="379"/>
      <c r="F215" s="379"/>
      <c r="G215" s="380"/>
    </row>
    <row r="216" spans="1:7" s="373" customFormat="1" ht="13.8" x14ac:dyDescent="0.3">
      <c r="A216" s="378"/>
      <c r="B216" s="378"/>
      <c r="C216" s="379"/>
      <c r="D216" s="379"/>
      <c r="E216" s="379"/>
      <c r="F216" s="379"/>
      <c r="G216" s="380"/>
    </row>
    <row r="217" spans="1:7" s="373" customFormat="1" ht="13.8" x14ac:dyDescent="0.3">
      <c r="A217" s="378"/>
      <c r="B217" s="378"/>
      <c r="C217" s="379"/>
      <c r="D217" s="379"/>
      <c r="E217" s="379"/>
      <c r="F217" s="379"/>
      <c r="G217" s="380"/>
    </row>
    <row r="218" spans="1:7" s="373" customFormat="1" ht="13.8" x14ac:dyDescent="0.3">
      <c r="A218" s="378"/>
      <c r="B218" s="378"/>
      <c r="C218" s="379"/>
      <c r="D218" s="379"/>
      <c r="E218" s="379"/>
      <c r="F218" s="379"/>
      <c r="G218" s="380"/>
    </row>
    <row r="219" spans="1:7" s="373" customFormat="1" ht="13.8" x14ac:dyDescent="0.3">
      <c r="A219" s="378"/>
      <c r="B219" s="378"/>
      <c r="C219" s="379"/>
      <c r="D219" s="379"/>
      <c r="E219" s="379"/>
      <c r="F219" s="379"/>
      <c r="G219" s="380"/>
    </row>
    <row r="220" spans="1:7" s="373" customFormat="1" ht="13.8" x14ac:dyDescent="0.3">
      <c r="A220" s="378"/>
      <c r="B220" s="378"/>
      <c r="C220" s="379"/>
      <c r="D220" s="379"/>
      <c r="E220" s="379"/>
      <c r="F220" s="379"/>
      <c r="G220" s="380"/>
    </row>
    <row r="221" spans="1:7" s="373" customFormat="1" ht="13.8" x14ac:dyDescent="0.3">
      <c r="A221" s="378"/>
      <c r="B221" s="378"/>
      <c r="C221" s="379"/>
      <c r="D221" s="379"/>
      <c r="E221" s="379"/>
      <c r="F221" s="379"/>
      <c r="G221" s="380"/>
    </row>
    <row r="222" spans="1:7" s="373" customFormat="1" ht="13.8" x14ac:dyDescent="0.3">
      <c r="A222" s="378"/>
      <c r="B222" s="378"/>
      <c r="C222" s="379"/>
      <c r="D222" s="379"/>
      <c r="E222" s="379"/>
      <c r="F222" s="379"/>
      <c r="G222" s="380"/>
    </row>
    <row r="223" spans="1:7" s="373" customFormat="1" ht="13.8" x14ac:dyDescent="0.3">
      <c r="A223" s="378"/>
      <c r="B223" s="378"/>
      <c r="C223" s="379"/>
      <c r="D223" s="379"/>
      <c r="E223" s="379"/>
      <c r="F223" s="379"/>
      <c r="G223" s="380"/>
    </row>
    <row r="224" spans="1:7" s="373" customFormat="1" ht="13.8" x14ac:dyDescent="0.3">
      <c r="A224" s="378"/>
      <c r="B224" s="378"/>
      <c r="C224" s="379"/>
      <c r="D224" s="379"/>
      <c r="E224" s="379"/>
      <c r="F224" s="379"/>
      <c r="G224" s="380"/>
    </row>
    <row r="225" spans="1:7" s="373" customFormat="1" ht="13.8" x14ac:dyDescent="0.3">
      <c r="A225" s="378"/>
      <c r="B225" s="378"/>
      <c r="C225" s="379"/>
      <c r="D225" s="379"/>
      <c r="E225" s="379"/>
      <c r="F225" s="379"/>
      <c r="G225" s="380"/>
    </row>
    <row r="226" spans="1:7" s="373" customFormat="1" ht="13.8" x14ac:dyDescent="0.3">
      <c r="A226" s="378"/>
      <c r="B226" s="378"/>
      <c r="C226" s="379"/>
      <c r="D226" s="379"/>
      <c r="E226" s="379"/>
      <c r="F226" s="379"/>
      <c r="G226" s="380"/>
    </row>
    <row r="227" spans="1:7" s="373" customFormat="1" ht="13.8" x14ac:dyDescent="0.3">
      <c r="A227" s="378"/>
      <c r="B227" s="378"/>
      <c r="C227" s="379"/>
      <c r="D227" s="379"/>
      <c r="E227" s="379"/>
      <c r="F227" s="379"/>
      <c r="G227" s="380"/>
    </row>
    <row r="228" spans="1:7" s="373" customFormat="1" ht="13.8" x14ac:dyDescent="0.3">
      <c r="A228" s="378"/>
      <c r="B228" s="378"/>
      <c r="C228" s="379"/>
      <c r="D228" s="379"/>
      <c r="E228" s="379"/>
      <c r="F228" s="379"/>
      <c r="G228" s="380"/>
    </row>
    <row r="229" spans="1:7" s="373" customFormat="1" ht="13.8" x14ac:dyDescent="0.3">
      <c r="A229" s="378"/>
      <c r="B229" s="378"/>
      <c r="C229" s="379"/>
      <c r="D229" s="379"/>
      <c r="E229" s="379"/>
      <c r="F229" s="379"/>
      <c r="G229" s="380"/>
    </row>
    <row r="230" spans="1:7" s="373" customFormat="1" ht="13.8" x14ac:dyDescent="0.3">
      <c r="A230" s="378"/>
      <c r="B230" s="378"/>
      <c r="C230" s="379"/>
      <c r="D230" s="379"/>
      <c r="E230" s="379"/>
      <c r="F230" s="379"/>
      <c r="G230" s="380"/>
    </row>
    <row r="231" spans="1:7" s="373" customFormat="1" ht="13.8" x14ac:dyDescent="0.3">
      <c r="A231" s="378"/>
      <c r="B231" s="378"/>
      <c r="C231" s="379"/>
      <c r="D231" s="379"/>
      <c r="E231" s="379"/>
      <c r="F231" s="379"/>
      <c r="G231" s="380"/>
    </row>
    <row r="232" spans="1:7" s="373" customFormat="1" ht="13.8" x14ac:dyDescent="0.3">
      <c r="A232" s="378"/>
      <c r="B232" s="378"/>
      <c r="C232" s="379"/>
      <c r="D232" s="379"/>
      <c r="E232" s="379"/>
      <c r="F232" s="379"/>
      <c r="G232" s="380"/>
    </row>
    <row r="233" spans="1:7" s="373" customFormat="1" ht="13.8" x14ac:dyDescent="0.3">
      <c r="A233" s="378"/>
      <c r="B233" s="378"/>
      <c r="C233" s="379"/>
      <c r="D233" s="379"/>
      <c r="E233" s="379"/>
      <c r="F233" s="379"/>
      <c r="G233" s="380"/>
    </row>
    <row r="234" spans="1:7" s="373" customFormat="1" ht="13.8" x14ac:dyDescent="0.3">
      <c r="A234" s="378"/>
      <c r="B234" s="378"/>
      <c r="C234" s="379"/>
      <c r="D234" s="379"/>
      <c r="E234" s="379"/>
      <c r="F234" s="379"/>
      <c r="G234" s="380"/>
    </row>
    <row r="235" spans="1:7" s="373" customFormat="1" ht="13.8" x14ac:dyDescent="0.3">
      <c r="A235" s="378"/>
      <c r="B235" s="378"/>
      <c r="C235" s="379"/>
      <c r="D235" s="379"/>
      <c r="E235" s="379"/>
      <c r="F235" s="379"/>
      <c r="G235" s="380"/>
    </row>
    <row r="236" spans="1:7" s="373" customFormat="1" ht="13.8" x14ac:dyDescent="0.3">
      <c r="A236" s="378"/>
      <c r="B236" s="378"/>
      <c r="C236" s="379"/>
      <c r="D236" s="379"/>
      <c r="E236" s="379"/>
      <c r="F236" s="379"/>
      <c r="G236" s="380"/>
    </row>
    <row r="237" spans="1:7" s="373" customFormat="1" ht="13.8" x14ac:dyDescent="0.3">
      <c r="A237" s="378"/>
      <c r="B237" s="378"/>
      <c r="C237" s="379"/>
      <c r="D237" s="379"/>
      <c r="E237" s="379"/>
      <c r="F237" s="379"/>
      <c r="G237" s="380"/>
    </row>
    <row r="238" spans="1:7" s="373" customFormat="1" ht="13.8" x14ac:dyDescent="0.3">
      <c r="A238" s="378"/>
      <c r="B238" s="378"/>
      <c r="C238" s="379"/>
      <c r="D238" s="379"/>
      <c r="E238" s="379"/>
      <c r="F238" s="379"/>
      <c r="G238" s="380"/>
    </row>
    <row r="239" spans="1:7" s="373" customFormat="1" ht="13.8" x14ac:dyDescent="0.3">
      <c r="A239" s="378"/>
      <c r="B239" s="378"/>
      <c r="C239" s="379"/>
      <c r="D239" s="379"/>
      <c r="E239" s="379"/>
      <c r="F239" s="379"/>
      <c r="G239" s="380"/>
    </row>
    <row r="240" spans="1:7" s="373" customFormat="1" ht="13.8" x14ac:dyDescent="0.3">
      <c r="A240" s="378"/>
      <c r="B240" s="378"/>
      <c r="C240" s="379"/>
      <c r="D240" s="379"/>
      <c r="E240" s="379"/>
      <c r="F240" s="379"/>
      <c r="G240" s="380"/>
    </row>
    <row r="241" spans="1:7" s="373" customFormat="1" ht="13.8" x14ac:dyDescent="0.3">
      <c r="A241" s="378"/>
      <c r="B241" s="378"/>
      <c r="C241" s="379"/>
      <c r="D241" s="379"/>
      <c r="E241" s="379"/>
      <c r="F241" s="379"/>
      <c r="G241" s="380"/>
    </row>
    <row r="242" spans="1:7" s="373" customFormat="1" ht="13.8" x14ac:dyDescent="0.3">
      <c r="A242" s="378"/>
      <c r="B242" s="378"/>
      <c r="C242" s="379"/>
      <c r="D242" s="379"/>
      <c r="E242" s="379"/>
      <c r="F242" s="379"/>
      <c r="G242" s="380"/>
    </row>
    <row r="243" spans="1:7" s="373" customFormat="1" ht="13.8" x14ac:dyDescent="0.3">
      <c r="A243" s="378"/>
      <c r="B243" s="378"/>
      <c r="C243" s="379"/>
      <c r="D243" s="379"/>
      <c r="E243" s="379"/>
      <c r="F243" s="379"/>
      <c r="G243" s="380"/>
    </row>
    <row r="244" spans="1:7" s="373" customFormat="1" ht="13.8" x14ac:dyDescent="0.3">
      <c r="A244" s="378"/>
      <c r="B244" s="378"/>
      <c r="C244" s="379"/>
      <c r="D244" s="379"/>
      <c r="E244" s="379"/>
      <c r="F244" s="379"/>
      <c r="G244" s="380"/>
    </row>
    <row r="245" spans="1:7" s="373" customFormat="1" ht="13.8" x14ac:dyDescent="0.3">
      <c r="A245" s="378"/>
      <c r="B245" s="378"/>
      <c r="C245" s="379"/>
      <c r="D245" s="379"/>
      <c r="E245" s="379"/>
      <c r="F245" s="379"/>
      <c r="G245" s="380"/>
    </row>
    <row r="246" spans="1:7" s="373" customFormat="1" ht="13.8" x14ac:dyDescent="0.3">
      <c r="A246" s="378"/>
      <c r="B246" s="378"/>
      <c r="C246" s="379"/>
      <c r="D246" s="379"/>
      <c r="E246" s="379"/>
      <c r="F246" s="379"/>
      <c r="G246" s="380"/>
    </row>
    <row r="247" spans="1:7" s="373" customFormat="1" ht="13.8" x14ac:dyDescent="0.3">
      <c r="A247" s="378"/>
      <c r="B247" s="378"/>
      <c r="C247" s="379"/>
      <c r="D247" s="379"/>
      <c r="E247" s="379"/>
      <c r="F247" s="379"/>
      <c r="G247" s="380"/>
    </row>
    <row r="248" spans="1:7" s="373" customFormat="1" ht="13.8" x14ac:dyDescent="0.3">
      <c r="A248" s="378"/>
      <c r="B248" s="378"/>
      <c r="C248" s="379"/>
      <c r="D248" s="379"/>
      <c r="E248" s="379"/>
      <c r="F248" s="379"/>
      <c r="G248" s="380"/>
    </row>
    <row r="249" spans="1:7" s="373" customFormat="1" ht="13.8" x14ac:dyDescent="0.3">
      <c r="A249" s="378"/>
      <c r="B249" s="378"/>
      <c r="C249" s="379"/>
      <c r="D249" s="379"/>
      <c r="E249" s="379"/>
      <c r="F249" s="379"/>
      <c r="G249" s="380"/>
    </row>
    <row r="250" spans="1:7" s="373" customFormat="1" ht="13.8" x14ac:dyDescent="0.3">
      <c r="A250" s="378"/>
      <c r="B250" s="378"/>
      <c r="C250" s="379"/>
      <c r="D250" s="379"/>
      <c r="E250" s="379"/>
      <c r="F250" s="379"/>
      <c r="G250" s="380"/>
    </row>
    <row r="251" spans="1:7" s="373" customFormat="1" ht="13.8" x14ac:dyDescent="0.3">
      <c r="A251" s="378"/>
      <c r="B251" s="378"/>
      <c r="C251" s="379"/>
      <c r="D251" s="379"/>
      <c r="E251" s="379"/>
      <c r="F251" s="379"/>
      <c r="G251" s="380"/>
    </row>
    <row r="252" spans="1:7" s="373" customFormat="1" ht="13.8" x14ac:dyDescent="0.3">
      <c r="A252" s="378"/>
      <c r="B252" s="378"/>
      <c r="C252" s="379"/>
      <c r="D252" s="379"/>
      <c r="E252" s="379"/>
      <c r="F252" s="379"/>
      <c r="G252" s="380"/>
    </row>
    <row r="253" spans="1:7" s="373" customFormat="1" ht="13.8" x14ac:dyDescent="0.3">
      <c r="A253" s="378"/>
      <c r="B253" s="378"/>
      <c r="C253" s="379"/>
      <c r="D253" s="379"/>
      <c r="E253" s="379"/>
      <c r="F253" s="379"/>
      <c r="G253" s="380"/>
    </row>
    <row r="254" spans="1:7" s="373" customFormat="1" ht="13.8" x14ac:dyDescent="0.3">
      <c r="A254" s="378"/>
      <c r="B254" s="378"/>
      <c r="C254" s="379"/>
      <c r="D254" s="379"/>
      <c r="E254" s="379"/>
      <c r="F254" s="379"/>
      <c r="G254" s="380"/>
    </row>
    <row r="255" spans="1:7" s="373" customFormat="1" ht="13.8" x14ac:dyDescent="0.3">
      <c r="A255" s="378"/>
      <c r="B255" s="378"/>
      <c r="C255" s="379"/>
      <c r="D255" s="379"/>
      <c r="E255" s="379"/>
      <c r="F255" s="379"/>
      <c r="G255" s="380"/>
    </row>
    <row r="256" spans="1:7" s="373" customFormat="1" ht="13.8" x14ac:dyDescent="0.3">
      <c r="A256" s="378"/>
      <c r="B256" s="378"/>
      <c r="C256" s="379"/>
      <c r="D256" s="379"/>
      <c r="E256" s="379"/>
      <c r="F256" s="379"/>
      <c r="G256" s="380"/>
    </row>
    <row r="257" spans="1:7" s="373" customFormat="1" ht="13.8" x14ac:dyDescent="0.3">
      <c r="A257" s="378"/>
      <c r="B257" s="378"/>
      <c r="C257" s="379"/>
      <c r="D257" s="379"/>
      <c r="E257" s="379"/>
      <c r="F257" s="379"/>
      <c r="G257" s="380"/>
    </row>
    <row r="258" spans="1:7" s="373" customFormat="1" ht="13.8" x14ac:dyDescent="0.3">
      <c r="A258" s="378"/>
      <c r="B258" s="378"/>
      <c r="C258" s="379"/>
      <c r="D258" s="379"/>
      <c r="E258" s="379"/>
      <c r="F258" s="379"/>
      <c r="G258" s="380"/>
    </row>
    <row r="259" spans="1:7" s="373" customFormat="1" ht="13.8" x14ac:dyDescent="0.3">
      <c r="A259" s="378"/>
      <c r="B259" s="378"/>
      <c r="C259" s="379"/>
      <c r="D259" s="379"/>
      <c r="E259" s="379"/>
      <c r="F259" s="379"/>
      <c r="G259" s="380"/>
    </row>
    <row r="260" spans="1:7" s="373" customFormat="1" ht="13.8" x14ac:dyDescent="0.3">
      <c r="A260" s="378"/>
      <c r="B260" s="378"/>
      <c r="C260" s="379"/>
      <c r="D260" s="379"/>
      <c r="E260" s="379"/>
      <c r="F260" s="379"/>
      <c r="G260" s="380"/>
    </row>
    <row r="261" spans="1:7" s="373" customFormat="1" ht="13.8" x14ac:dyDescent="0.3">
      <c r="A261" s="378"/>
      <c r="B261" s="378"/>
      <c r="C261" s="379"/>
      <c r="D261" s="379"/>
      <c r="E261" s="379"/>
      <c r="F261" s="379"/>
      <c r="G261" s="380"/>
    </row>
    <row r="262" spans="1:7" s="373" customFormat="1" ht="13.8" x14ac:dyDescent="0.3">
      <c r="A262" s="378"/>
      <c r="B262" s="378"/>
      <c r="C262" s="379"/>
      <c r="D262" s="379"/>
      <c r="E262" s="379"/>
      <c r="F262" s="379"/>
      <c r="G262" s="380"/>
    </row>
    <row r="263" spans="1:7" s="373" customFormat="1" ht="13.8" x14ac:dyDescent="0.3">
      <c r="A263" s="378"/>
      <c r="B263" s="378"/>
      <c r="C263" s="379"/>
      <c r="D263" s="379"/>
      <c r="E263" s="379"/>
      <c r="F263" s="379"/>
      <c r="G263" s="380"/>
    </row>
    <row r="264" spans="1:7" s="373" customFormat="1" ht="13.8" x14ac:dyDescent="0.3">
      <c r="A264" s="378"/>
      <c r="B264" s="378"/>
      <c r="C264" s="379"/>
      <c r="D264" s="379"/>
      <c r="E264" s="379"/>
      <c r="F264" s="379"/>
      <c r="G264" s="380"/>
    </row>
    <row r="265" spans="1:7" s="373" customFormat="1" ht="13.8" x14ac:dyDescent="0.3">
      <c r="A265" s="378"/>
      <c r="B265" s="378"/>
      <c r="C265" s="379"/>
      <c r="D265" s="379"/>
      <c r="E265" s="379"/>
      <c r="F265" s="379"/>
      <c r="G265" s="380"/>
    </row>
    <row r="266" spans="1:7" s="373" customFormat="1" ht="13.8" x14ac:dyDescent="0.3">
      <c r="A266" s="378"/>
      <c r="B266" s="378"/>
      <c r="C266" s="379"/>
      <c r="D266" s="379"/>
      <c r="E266" s="379"/>
      <c r="F266" s="379"/>
      <c r="G266" s="380"/>
    </row>
    <row r="267" spans="1:7" s="373" customFormat="1" ht="13.8" x14ac:dyDescent="0.3">
      <c r="A267" s="378"/>
      <c r="B267" s="378"/>
      <c r="C267" s="379"/>
      <c r="D267" s="379"/>
      <c r="E267" s="379"/>
      <c r="F267" s="379"/>
      <c r="G267" s="380"/>
    </row>
    <row r="268" spans="1:7" s="373" customFormat="1" ht="13.8" x14ac:dyDescent="0.3">
      <c r="A268" s="378"/>
      <c r="B268" s="378"/>
      <c r="C268" s="379"/>
      <c r="D268" s="379"/>
      <c r="E268" s="379"/>
      <c r="F268" s="379"/>
      <c r="G268" s="380"/>
    </row>
    <row r="269" spans="1:7" s="373" customFormat="1" ht="13.8" x14ac:dyDescent="0.3">
      <c r="A269" s="378"/>
      <c r="B269" s="378"/>
      <c r="C269" s="379"/>
      <c r="D269" s="379"/>
      <c r="E269" s="379"/>
      <c r="F269" s="379"/>
      <c r="G269" s="380"/>
    </row>
    <row r="270" spans="1:7" s="373" customFormat="1" ht="13.8" x14ac:dyDescent="0.3">
      <c r="A270" s="378"/>
      <c r="B270" s="378"/>
      <c r="C270" s="379"/>
      <c r="D270" s="379"/>
      <c r="E270" s="379"/>
      <c r="F270" s="379"/>
      <c r="G270" s="380"/>
    </row>
    <row r="271" spans="1:7" s="373" customFormat="1" ht="13.8" x14ac:dyDescent="0.3">
      <c r="A271" s="378"/>
      <c r="B271" s="378"/>
      <c r="C271" s="379"/>
      <c r="D271" s="379"/>
      <c r="E271" s="379"/>
      <c r="F271" s="379"/>
      <c r="G271" s="380"/>
    </row>
    <row r="272" spans="1:7" s="373" customFormat="1" ht="13.8" x14ac:dyDescent="0.3">
      <c r="A272" s="378"/>
      <c r="B272" s="378"/>
      <c r="C272" s="379"/>
      <c r="D272" s="379"/>
      <c r="E272" s="379"/>
      <c r="F272" s="379"/>
      <c r="G272" s="380"/>
    </row>
    <row r="273" spans="1:7" s="373" customFormat="1" ht="13.8" x14ac:dyDescent="0.3">
      <c r="A273" s="378"/>
      <c r="B273" s="378"/>
      <c r="C273" s="379"/>
      <c r="D273" s="379"/>
      <c r="E273" s="379"/>
      <c r="F273" s="379"/>
      <c r="G273" s="380"/>
    </row>
    <row r="274" spans="1:7" s="373" customFormat="1" ht="13.8" x14ac:dyDescent="0.3">
      <c r="A274" s="378"/>
      <c r="B274" s="378"/>
      <c r="C274" s="379"/>
      <c r="D274" s="379"/>
      <c r="E274" s="379"/>
      <c r="F274" s="379"/>
      <c r="G274" s="380"/>
    </row>
    <row r="275" spans="1:7" s="373" customFormat="1" ht="13.8" x14ac:dyDescent="0.3">
      <c r="A275" s="378"/>
      <c r="B275" s="378"/>
      <c r="C275" s="379"/>
      <c r="D275" s="379"/>
      <c r="E275" s="379"/>
      <c r="F275" s="379"/>
      <c r="G275" s="380"/>
    </row>
    <row r="276" spans="1:7" s="373" customFormat="1" ht="13.8" x14ac:dyDescent="0.3">
      <c r="A276" s="378"/>
      <c r="B276" s="378"/>
      <c r="C276" s="379"/>
      <c r="D276" s="379"/>
      <c r="E276" s="379"/>
      <c r="F276" s="379"/>
      <c r="G276" s="380"/>
    </row>
    <row r="277" spans="1:7" s="373" customFormat="1" ht="13.8" x14ac:dyDescent="0.3">
      <c r="A277" s="378"/>
      <c r="B277" s="378"/>
      <c r="C277" s="379"/>
      <c r="D277" s="379"/>
      <c r="E277" s="379"/>
      <c r="F277" s="379"/>
      <c r="G277" s="380"/>
    </row>
    <row r="278" spans="1:7" s="373" customFormat="1" ht="13.8" x14ac:dyDescent="0.3">
      <c r="A278" s="378"/>
      <c r="B278" s="378"/>
      <c r="C278" s="379"/>
      <c r="D278" s="379"/>
      <c r="E278" s="379"/>
      <c r="F278" s="379"/>
      <c r="G278" s="380"/>
    </row>
    <row r="279" spans="1:7" s="373" customFormat="1" ht="13.8" x14ac:dyDescent="0.3">
      <c r="A279" s="378"/>
      <c r="B279" s="378"/>
      <c r="C279" s="379"/>
      <c r="D279" s="379"/>
      <c r="E279" s="379"/>
      <c r="F279" s="379"/>
      <c r="G279" s="380"/>
    </row>
    <row r="280" spans="1:7" s="373" customFormat="1" ht="13.8" x14ac:dyDescent="0.3">
      <c r="A280" s="378"/>
      <c r="B280" s="378"/>
      <c r="C280" s="379"/>
      <c r="D280" s="379"/>
      <c r="E280" s="379"/>
      <c r="F280" s="379"/>
      <c r="G280" s="380"/>
    </row>
    <row r="281" spans="1:7" s="373" customFormat="1" ht="13.8" x14ac:dyDescent="0.3">
      <c r="A281" s="378"/>
      <c r="B281" s="378"/>
      <c r="C281" s="379"/>
      <c r="D281" s="379"/>
      <c r="E281" s="379"/>
      <c r="F281" s="379"/>
      <c r="G281" s="380"/>
    </row>
    <row r="282" spans="1:7" s="373" customFormat="1" ht="13.8" x14ac:dyDescent="0.3">
      <c r="A282" s="378"/>
      <c r="B282" s="378"/>
      <c r="C282" s="379"/>
      <c r="D282" s="379"/>
      <c r="E282" s="379"/>
      <c r="F282" s="379"/>
      <c r="G282" s="380"/>
    </row>
    <row r="283" spans="1:7" s="373" customFormat="1" ht="13.8" x14ac:dyDescent="0.3">
      <c r="A283" s="378"/>
      <c r="B283" s="378"/>
      <c r="C283" s="379"/>
      <c r="D283" s="379"/>
      <c r="E283" s="379"/>
      <c r="F283" s="379"/>
      <c r="G283" s="380"/>
    </row>
    <row r="284" spans="1:7" s="373" customFormat="1" ht="13.8" x14ac:dyDescent="0.3">
      <c r="A284" s="378"/>
      <c r="B284" s="378"/>
      <c r="C284" s="379"/>
      <c r="D284" s="379"/>
      <c r="E284" s="379"/>
      <c r="F284" s="379"/>
      <c r="G284" s="380"/>
    </row>
    <row r="285" spans="1:7" s="373" customFormat="1" ht="13.8" x14ac:dyDescent="0.3">
      <c r="A285" s="378"/>
      <c r="B285" s="378"/>
      <c r="C285" s="379"/>
      <c r="D285" s="379"/>
      <c r="E285" s="379"/>
      <c r="F285" s="379"/>
      <c r="G285" s="380"/>
    </row>
    <row r="286" spans="1:7" s="373" customFormat="1" ht="13.8" x14ac:dyDescent="0.3">
      <c r="A286" s="378"/>
      <c r="B286" s="378"/>
      <c r="C286" s="379"/>
      <c r="D286" s="379"/>
      <c r="E286" s="379"/>
      <c r="F286" s="379"/>
      <c r="G286" s="380"/>
    </row>
    <row r="287" spans="1:7" s="373" customFormat="1" ht="13.8" x14ac:dyDescent="0.3">
      <c r="A287" s="378"/>
      <c r="B287" s="378"/>
      <c r="C287" s="379"/>
      <c r="D287" s="379"/>
      <c r="E287" s="379"/>
      <c r="F287" s="379"/>
      <c r="G287" s="380"/>
    </row>
    <row r="288" spans="1:7" s="373" customFormat="1" ht="13.8" x14ac:dyDescent="0.3">
      <c r="A288" s="378"/>
      <c r="B288" s="378"/>
      <c r="C288" s="379"/>
      <c r="D288" s="379"/>
      <c r="E288" s="379"/>
      <c r="F288" s="379"/>
      <c r="G288" s="380"/>
    </row>
    <row r="289" spans="1:7" s="373" customFormat="1" ht="13.8" x14ac:dyDescent="0.3">
      <c r="A289" s="378"/>
      <c r="B289" s="378"/>
      <c r="C289" s="379"/>
      <c r="D289" s="379"/>
      <c r="E289" s="379"/>
      <c r="F289" s="379"/>
      <c r="G289" s="380"/>
    </row>
    <row r="290" spans="1:7" s="373" customFormat="1" ht="13.8" x14ac:dyDescent="0.3">
      <c r="A290" s="378"/>
      <c r="B290" s="378"/>
      <c r="C290" s="379"/>
      <c r="D290" s="379"/>
      <c r="E290" s="379"/>
      <c r="F290" s="379"/>
      <c r="G290" s="380"/>
    </row>
    <row r="291" spans="1:7" s="373" customFormat="1" ht="13.8" x14ac:dyDescent="0.3">
      <c r="A291" s="378"/>
      <c r="B291" s="378"/>
      <c r="C291" s="379"/>
      <c r="D291" s="379"/>
      <c r="E291" s="379"/>
      <c r="F291" s="379"/>
      <c r="G291" s="380"/>
    </row>
    <row r="292" spans="1:7" s="373" customFormat="1" ht="13.8" x14ac:dyDescent="0.3">
      <c r="A292" s="378"/>
      <c r="B292" s="378"/>
      <c r="C292" s="379"/>
      <c r="D292" s="379"/>
      <c r="E292" s="379"/>
      <c r="F292" s="379"/>
      <c r="G292" s="380"/>
    </row>
    <row r="293" spans="1:7" s="373" customFormat="1" ht="13.8" x14ac:dyDescent="0.3">
      <c r="A293" s="378"/>
      <c r="B293" s="378"/>
      <c r="C293" s="379"/>
      <c r="D293" s="379"/>
      <c r="E293" s="379"/>
      <c r="F293" s="379"/>
      <c r="G293" s="380"/>
    </row>
    <row r="294" spans="1:7" s="373" customFormat="1" ht="13.8" x14ac:dyDescent="0.3">
      <c r="A294" s="378"/>
      <c r="B294" s="378"/>
      <c r="C294" s="379"/>
      <c r="D294" s="379"/>
      <c r="E294" s="379"/>
      <c r="F294" s="379"/>
      <c r="G294" s="380"/>
    </row>
    <row r="295" spans="1:7" s="373" customFormat="1" ht="13.8" x14ac:dyDescent="0.3">
      <c r="A295" s="378"/>
      <c r="B295" s="378"/>
      <c r="C295" s="379"/>
      <c r="D295" s="379"/>
      <c r="E295" s="379"/>
      <c r="F295" s="379"/>
      <c r="G295" s="380"/>
    </row>
    <row r="296" spans="1:7" s="373" customFormat="1" ht="13.8" x14ac:dyDescent="0.3">
      <c r="A296" s="378"/>
      <c r="B296" s="378"/>
      <c r="C296" s="379"/>
      <c r="D296" s="379"/>
      <c r="E296" s="379"/>
      <c r="F296" s="379"/>
      <c r="G296" s="380"/>
    </row>
    <row r="297" spans="1:7" s="373" customFormat="1" ht="13.8" x14ac:dyDescent="0.3">
      <c r="A297" s="378"/>
      <c r="B297" s="378"/>
      <c r="C297" s="379"/>
      <c r="D297" s="379"/>
      <c r="E297" s="379"/>
      <c r="F297" s="379"/>
      <c r="G297" s="380"/>
    </row>
    <row r="298" spans="1:7" s="373" customFormat="1" ht="13.8" x14ac:dyDescent="0.3">
      <c r="A298" s="378"/>
      <c r="B298" s="378"/>
      <c r="C298" s="379"/>
      <c r="D298" s="379"/>
      <c r="E298" s="379"/>
      <c r="F298" s="379"/>
      <c r="G298" s="380"/>
    </row>
    <row r="299" spans="1:7" s="373" customFormat="1" ht="13.8" x14ac:dyDescent="0.3">
      <c r="A299" s="378"/>
      <c r="B299" s="378"/>
      <c r="C299" s="379"/>
      <c r="D299" s="379"/>
      <c r="E299" s="379"/>
      <c r="F299" s="379"/>
      <c r="G299" s="380"/>
    </row>
    <row r="300" spans="1:7" s="373" customFormat="1" ht="13.8" x14ac:dyDescent="0.3">
      <c r="A300" s="378"/>
      <c r="B300" s="378"/>
      <c r="C300" s="379"/>
      <c r="D300" s="379"/>
      <c r="E300" s="379"/>
      <c r="F300" s="379"/>
      <c r="G300" s="380"/>
    </row>
    <row r="301" spans="1:7" s="373" customFormat="1" ht="13.8" x14ac:dyDescent="0.3">
      <c r="A301" s="378"/>
      <c r="B301" s="378"/>
      <c r="C301" s="379"/>
      <c r="D301" s="379"/>
      <c r="E301" s="379"/>
      <c r="F301" s="379"/>
      <c r="G301" s="380"/>
    </row>
    <row r="302" spans="1:7" s="373" customFormat="1" ht="13.8" x14ac:dyDescent="0.3">
      <c r="A302" s="378"/>
      <c r="B302" s="378"/>
      <c r="C302" s="379"/>
      <c r="D302" s="379"/>
      <c r="E302" s="379"/>
      <c r="F302" s="379"/>
      <c r="G302" s="380"/>
    </row>
    <row r="303" spans="1:7" s="373" customFormat="1" ht="13.8" x14ac:dyDescent="0.3">
      <c r="A303" s="378"/>
      <c r="B303" s="378"/>
      <c r="C303" s="379"/>
      <c r="D303" s="379"/>
      <c r="E303" s="379"/>
      <c r="F303" s="379"/>
      <c r="G303" s="380"/>
    </row>
    <row r="304" spans="1:7" s="373" customFormat="1" ht="13.8" x14ac:dyDescent="0.3">
      <c r="A304" s="378"/>
      <c r="B304" s="378"/>
      <c r="C304" s="379"/>
      <c r="D304" s="379"/>
      <c r="E304" s="379"/>
      <c r="F304" s="379"/>
      <c r="G304" s="380"/>
    </row>
    <row r="305" spans="1:7" s="373" customFormat="1" ht="13.8" x14ac:dyDescent="0.3">
      <c r="A305" s="378"/>
      <c r="B305" s="378"/>
      <c r="C305" s="379"/>
      <c r="D305" s="379"/>
      <c r="E305" s="379"/>
      <c r="F305" s="379"/>
      <c r="G305" s="380"/>
    </row>
    <row r="306" spans="1:7" s="373" customFormat="1" ht="13.8" x14ac:dyDescent="0.3">
      <c r="A306" s="378"/>
      <c r="B306" s="378"/>
      <c r="C306" s="379"/>
      <c r="D306" s="379"/>
      <c r="E306" s="379"/>
      <c r="F306" s="379"/>
      <c r="G306" s="380"/>
    </row>
    <row r="307" spans="1:7" s="373" customFormat="1" ht="13.8" x14ac:dyDescent="0.3">
      <c r="A307" s="378"/>
      <c r="B307" s="378"/>
      <c r="C307" s="379"/>
      <c r="D307" s="379"/>
      <c r="E307" s="379"/>
      <c r="F307" s="379"/>
      <c r="G307" s="380"/>
    </row>
    <row r="308" spans="1:7" s="373" customFormat="1" ht="13.8" x14ac:dyDescent="0.3">
      <c r="A308" s="378"/>
      <c r="B308" s="378"/>
      <c r="C308" s="379"/>
      <c r="D308" s="379"/>
      <c r="E308" s="379"/>
      <c r="F308" s="379"/>
      <c r="G308" s="380"/>
    </row>
    <row r="309" spans="1:7" s="373" customFormat="1" ht="13.8" x14ac:dyDescent="0.3">
      <c r="A309" s="378"/>
      <c r="B309" s="378"/>
      <c r="C309" s="379"/>
      <c r="D309" s="379"/>
      <c r="E309" s="379"/>
      <c r="F309" s="379"/>
      <c r="G309" s="380"/>
    </row>
    <row r="310" spans="1:7" s="373" customFormat="1" ht="13.8" x14ac:dyDescent="0.3">
      <c r="A310" s="378"/>
      <c r="B310" s="378"/>
      <c r="C310" s="379"/>
      <c r="D310" s="379"/>
      <c r="E310" s="379"/>
      <c r="F310" s="379"/>
      <c r="G310" s="380"/>
    </row>
    <row r="311" spans="1:7" s="373" customFormat="1" ht="13.8" x14ac:dyDescent="0.3">
      <c r="A311" s="378"/>
      <c r="B311" s="378"/>
      <c r="C311" s="379"/>
      <c r="D311" s="379"/>
      <c r="E311" s="379"/>
      <c r="F311" s="379"/>
      <c r="G311" s="380"/>
    </row>
    <row r="312" spans="1:7" s="373" customFormat="1" ht="13.8" x14ac:dyDescent="0.3">
      <c r="A312" s="378"/>
      <c r="B312" s="378"/>
      <c r="C312" s="379"/>
      <c r="D312" s="379"/>
      <c r="E312" s="379"/>
      <c r="F312" s="379"/>
      <c r="G312" s="380"/>
    </row>
    <row r="313" spans="1:7" s="373" customFormat="1" ht="13.8" x14ac:dyDescent="0.3">
      <c r="A313" s="378"/>
      <c r="B313" s="378"/>
      <c r="C313" s="379"/>
      <c r="D313" s="379"/>
      <c r="E313" s="379"/>
      <c r="F313" s="379"/>
      <c r="G313" s="380"/>
    </row>
    <row r="314" spans="1:7" s="373" customFormat="1" ht="13.8" x14ac:dyDescent="0.3">
      <c r="A314" s="378"/>
      <c r="B314" s="378"/>
      <c r="C314" s="379"/>
      <c r="D314" s="379"/>
      <c r="E314" s="379"/>
      <c r="F314" s="379"/>
      <c r="G314" s="380"/>
    </row>
    <row r="315" spans="1:7" s="373" customFormat="1" ht="13.8" x14ac:dyDescent="0.3">
      <c r="A315" s="378"/>
      <c r="B315" s="378"/>
      <c r="C315" s="379"/>
      <c r="D315" s="379"/>
      <c r="E315" s="379"/>
      <c r="F315" s="379"/>
      <c r="G315" s="380"/>
    </row>
    <row r="316" spans="1:7" s="373" customFormat="1" ht="13.8" x14ac:dyDescent="0.3">
      <c r="A316" s="378"/>
      <c r="B316" s="378"/>
      <c r="C316" s="379"/>
      <c r="D316" s="379"/>
      <c r="E316" s="379"/>
      <c r="F316" s="379"/>
      <c r="G316" s="380"/>
    </row>
    <row r="317" spans="1:7" s="373" customFormat="1" ht="13.8" x14ac:dyDescent="0.3">
      <c r="A317" s="378"/>
      <c r="B317" s="378"/>
      <c r="C317" s="379"/>
      <c r="D317" s="379"/>
      <c r="E317" s="379"/>
      <c r="F317" s="379"/>
      <c r="G317" s="380"/>
    </row>
    <row r="318" spans="1:7" s="373" customFormat="1" ht="13.8" x14ac:dyDescent="0.3">
      <c r="A318" s="378"/>
      <c r="B318" s="378"/>
      <c r="C318" s="379"/>
      <c r="D318" s="379"/>
      <c r="E318" s="379"/>
      <c r="F318" s="379"/>
      <c r="G318" s="380"/>
    </row>
    <row r="319" spans="1:7" s="373" customFormat="1" ht="13.8" x14ac:dyDescent="0.3">
      <c r="A319" s="378"/>
      <c r="B319" s="378"/>
      <c r="C319" s="379"/>
      <c r="D319" s="379"/>
      <c r="E319" s="379"/>
      <c r="F319" s="379"/>
      <c r="G319" s="380"/>
    </row>
    <row r="320" spans="1:7" s="373" customFormat="1" ht="13.8" x14ac:dyDescent="0.3">
      <c r="A320" s="378"/>
      <c r="B320" s="378"/>
      <c r="C320" s="379"/>
      <c r="D320" s="379"/>
      <c r="E320" s="379"/>
      <c r="F320" s="379"/>
      <c r="G320" s="380"/>
    </row>
    <row r="321" spans="1:7" s="373" customFormat="1" ht="13.8" x14ac:dyDescent="0.3">
      <c r="A321" s="378"/>
      <c r="B321" s="378"/>
      <c r="C321" s="379"/>
      <c r="D321" s="379"/>
      <c r="E321" s="379"/>
      <c r="F321" s="379"/>
      <c r="G321" s="380"/>
    </row>
    <row r="322" spans="1:7" s="373" customFormat="1" ht="13.8" x14ac:dyDescent="0.3">
      <c r="A322" s="378"/>
      <c r="B322" s="378"/>
      <c r="C322" s="379"/>
      <c r="D322" s="379"/>
      <c r="E322" s="379"/>
      <c r="F322" s="379"/>
      <c r="G322" s="380"/>
    </row>
    <row r="323" spans="1:7" s="373" customFormat="1" ht="13.8" x14ac:dyDescent="0.3">
      <c r="A323" s="378"/>
      <c r="B323" s="378"/>
      <c r="C323" s="379"/>
      <c r="D323" s="379"/>
      <c r="E323" s="379"/>
      <c r="F323" s="379"/>
      <c r="G323" s="380"/>
    </row>
    <row r="324" spans="1:7" s="373" customFormat="1" ht="13.8" x14ac:dyDescent="0.3">
      <c r="A324" s="378"/>
      <c r="B324" s="378"/>
      <c r="C324" s="379"/>
      <c r="D324" s="379"/>
      <c r="E324" s="379"/>
      <c r="F324" s="379"/>
      <c r="G324" s="380"/>
    </row>
    <row r="325" spans="1:7" s="373" customFormat="1" ht="13.8" x14ac:dyDescent="0.3">
      <c r="A325" s="378"/>
      <c r="B325" s="378"/>
      <c r="C325" s="379"/>
      <c r="D325" s="379"/>
      <c r="E325" s="379"/>
      <c r="F325" s="379"/>
      <c r="G325" s="380"/>
    </row>
    <row r="326" spans="1:7" s="373" customFormat="1" ht="13.8" x14ac:dyDescent="0.3">
      <c r="A326" s="378"/>
      <c r="B326" s="378"/>
      <c r="C326" s="379"/>
      <c r="D326" s="379"/>
      <c r="E326" s="379"/>
      <c r="F326" s="379"/>
      <c r="G326" s="380"/>
    </row>
    <row r="327" spans="1:7" s="373" customFormat="1" ht="13.8" x14ac:dyDescent="0.3">
      <c r="A327" s="378"/>
      <c r="B327" s="378"/>
      <c r="C327" s="379"/>
      <c r="D327" s="379"/>
      <c r="E327" s="379"/>
      <c r="F327" s="379"/>
      <c r="G327" s="380"/>
    </row>
    <row r="328" spans="1:7" s="373" customFormat="1" ht="13.8" x14ac:dyDescent="0.3">
      <c r="A328" s="378"/>
      <c r="B328" s="378"/>
      <c r="C328" s="379"/>
      <c r="D328" s="379"/>
      <c r="E328" s="379"/>
      <c r="F328" s="379"/>
      <c r="G328" s="380"/>
    </row>
    <row r="329" spans="1:7" s="373" customFormat="1" ht="13.8" x14ac:dyDescent="0.3">
      <c r="A329" s="378"/>
      <c r="B329" s="378"/>
      <c r="C329" s="379"/>
      <c r="D329" s="379"/>
      <c r="E329" s="379"/>
      <c r="F329" s="379"/>
      <c r="G329" s="380"/>
    </row>
    <row r="330" spans="1:7" s="373" customFormat="1" ht="13.8" x14ac:dyDescent="0.3">
      <c r="A330" s="378"/>
      <c r="B330" s="378"/>
      <c r="C330" s="379"/>
      <c r="D330" s="379"/>
      <c r="E330" s="379"/>
      <c r="F330" s="379"/>
      <c r="G330" s="380"/>
    </row>
    <row r="331" spans="1:7" s="373" customFormat="1" ht="13.8" x14ac:dyDescent="0.3">
      <c r="A331" s="378"/>
      <c r="B331" s="378"/>
      <c r="C331" s="379"/>
      <c r="D331" s="379"/>
      <c r="E331" s="379"/>
      <c r="F331" s="379"/>
      <c r="G331" s="380"/>
    </row>
    <row r="332" spans="1:7" s="373" customFormat="1" ht="13.8" x14ac:dyDescent="0.3">
      <c r="A332" s="378"/>
      <c r="B332" s="378"/>
      <c r="C332" s="379"/>
      <c r="D332" s="379"/>
      <c r="E332" s="379"/>
      <c r="F332" s="379"/>
      <c r="G332" s="380"/>
    </row>
    <row r="333" spans="1:7" s="373" customFormat="1" ht="13.8" x14ac:dyDescent="0.3">
      <c r="A333" s="378"/>
      <c r="B333" s="378"/>
      <c r="C333" s="379"/>
      <c r="D333" s="379"/>
      <c r="E333" s="379"/>
      <c r="F333" s="379"/>
      <c r="G333" s="380"/>
    </row>
    <row r="334" spans="1:7" s="373" customFormat="1" ht="13.8" x14ac:dyDescent="0.3">
      <c r="A334" s="378"/>
      <c r="B334" s="378"/>
      <c r="C334" s="379"/>
      <c r="D334" s="379"/>
      <c r="E334" s="379"/>
      <c r="F334" s="379"/>
      <c r="G334" s="380"/>
    </row>
    <row r="335" spans="1:7" s="373" customFormat="1" ht="13.8" x14ac:dyDescent="0.3">
      <c r="A335" s="378"/>
      <c r="B335" s="378"/>
      <c r="C335" s="379"/>
      <c r="D335" s="379"/>
      <c r="E335" s="379"/>
      <c r="F335" s="379"/>
      <c r="G335" s="380"/>
    </row>
    <row r="336" spans="1:7" s="373" customFormat="1" ht="13.8" x14ac:dyDescent="0.3">
      <c r="A336" s="378"/>
      <c r="B336" s="378"/>
      <c r="C336" s="379"/>
      <c r="D336" s="379"/>
      <c r="E336" s="379"/>
      <c r="F336" s="379"/>
      <c r="G336" s="380"/>
    </row>
    <row r="337" spans="1:7" s="373" customFormat="1" ht="13.8" x14ac:dyDescent="0.3">
      <c r="A337" s="378"/>
      <c r="B337" s="378"/>
      <c r="C337" s="379"/>
      <c r="D337" s="379"/>
      <c r="E337" s="379"/>
      <c r="F337" s="379"/>
      <c r="G337" s="380"/>
    </row>
    <row r="338" spans="1:7" s="373" customFormat="1" ht="13.8" x14ac:dyDescent="0.3">
      <c r="A338" s="378"/>
      <c r="B338" s="378"/>
      <c r="C338" s="379"/>
      <c r="D338" s="379"/>
      <c r="E338" s="379"/>
      <c r="F338" s="379"/>
      <c r="G338" s="380"/>
    </row>
    <row r="339" spans="1:7" s="373" customFormat="1" ht="13.8" x14ac:dyDescent="0.3">
      <c r="A339" s="378"/>
      <c r="B339" s="378"/>
      <c r="C339" s="379"/>
      <c r="D339" s="379"/>
      <c r="E339" s="379"/>
      <c r="F339" s="379"/>
      <c r="G339" s="380"/>
    </row>
    <row r="340" spans="1:7" s="373" customFormat="1" ht="13.8" x14ac:dyDescent="0.3">
      <c r="A340" s="378"/>
      <c r="B340" s="378"/>
      <c r="C340" s="379"/>
      <c r="D340" s="379"/>
      <c r="E340" s="379"/>
      <c r="F340" s="379"/>
      <c r="G340" s="380"/>
    </row>
    <row r="341" spans="1:7" s="373" customFormat="1" ht="13.8" x14ac:dyDescent="0.3">
      <c r="A341" s="378"/>
      <c r="B341" s="378"/>
      <c r="C341" s="379"/>
      <c r="D341" s="379"/>
      <c r="E341" s="379"/>
      <c r="F341" s="379"/>
      <c r="G341" s="380"/>
    </row>
    <row r="342" spans="1:7" s="373" customFormat="1" ht="13.8" x14ac:dyDescent="0.3">
      <c r="A342" s="378"/>
      <c r="B342" s="378"/>
      <c r="C342" s="379"/>
      <c r="D342" s="379"/>
      <c r="E342" s="379"/>
      <c r="F342" s="379"/>
      <c r="G342" s="380"/>
    </row>
    <row r="343" spans="1:7" s="373" customFormat="1" ht="13.8" x14ac:dyDescent="0.3">
      <c r="A343" s="378"/>
      <c r="B343" s="378"/>
      <c r="C343" s="379"/>
      <c r="D343" s="379"/>
      <c r="E343" s="379"/>
      <c r="F343" s="379"/>
      <c r="G343" s="380"/>
    </row>
    <row r="344" spans="1:7" s="373" customFormat="1" ht="13.8" x14ac:dyDescent="0.3">
      <c r="A344" s="378"/>
      <c r="B344" s="378"/>
      <c r="C344" s="379"/>
      <c r="D344" s="379"/>
      <c r="E344" s="379"/>
      <c r="F344" s="379"/>
      <c r="G344" s="380"/>
    </row>
    <row r="345" spans="1:7" s="373" customFormat="1" ht="13.8" x14ac:dyDescent="0.3">
      <c r="A345" s="378"/>
      <c r="B345" s="378"/>
      <c r="C345" s="379"/>
      <c r="D345" s="379"/>
      <c r="E345" s="379"/>
      <c r="F345" s="379"/>
      <c r="G345" s="380"/>
    </row>
    <row r="346" spans="1:7" s="373" customFormat="1" ht="13.8" x14ac:dyDescent="0.3">
      <c r="A346" s="378"/>
      <c r="B346" s="378"/>
      <c r="C346" s="379"/>
      <c r="D346" s="379"/>
      <c r="E346" s="379"/>
      <c r="F346" s="379"/>
      <c r="G346" s="380"/>
    </row>
    <row r="347" spans="1:7" s="373" customFormat="1" ht="13.8" x14ac:dyDescent="0.3">
      <c r="A347" s="378"/>
      <c r="B347" s="378"/>
      <c r="C347" s="379"/>
      <c r="D347" s="379"/>
      <c r="E347" s="379"/>
      <c r="F347" s="379"/>
      <c r="G347" s="380"/>
    </row>
    <row r="348" spans="1:7" s="373" customFormat="1" ht="13.8" x14ac:dyDescent="0.3">
      <c r="A348" s="378"/>
      <c r="B348" s="378"/>
      <c r="C348" s="379"/>
      <c r="D348" s="379"/>
      <c r="E348" s="379"/>
      <c r="F348" s="379"/>
      <c r="G348" s="380"/>
    </row>
    <row r="349" spans="1:7" s="373" customFormat="1" ht="13.8" x14ac:dyDescent="0.3">
      <c r="A349" s="378"/>
      <c r="B349" s="378"/>
      <c r="C349" s="379"/>
      <c r="D349" s="379"/>
      <c r="E349" s="379"/>
      <c r="F349" s="379"/>
      <c r="G349" s="380"/>
    </row>
    <row r="350" spans="1:7" s="373" customFormat="1" ht="13.8" x14ac:dyDescent="0.3">
      <c r="A350" s="378"/>
      <c r="B350" s="378"/>
      <c r="C350" s="379"/>
      <c r="D350" s="379"/>
      <c r="E350" s="379"/>
      <c r="F350" s="379"/>
      <c r="G350" s="380"/>
    </row>
    <row r="351" spans="1:7" s="373" customFormat="1" ht="13.8" x14ac:dyDescent="0.3">
      <c r="A351" s="378"/>
      <c r="B351" s="378"/>
      <c r="C351" s="379"/>
      <c r="D351" s="379"/>
      <c r="E351" s="379"/>
      <c r="F351" s="379"/>
      <c r="G351" s="380"/>
    </row>
    <row r="352" spans="1:7" s="373" customFormat="1" ht="13.8" x14ac:dyDescent="0.3">
      <c r="A352" s="378"/>
      <c r="B352" s="378"/>
      <c r="C352" s="379"/>
      <c r="D352" s="379"/>
      <c r="E352" s="379"/>
      <c r="F352" s="379"/>
      <c r="G352" s="380"/>
    </row>
    <row r="353" spans="1:7" s="373" customFormat="1" ht="13.8" x14ac:dyDescent="0.3">
      <c r="A353" s="378"/>
      <c r="B353" s="378"/>
      <c r="C353" s="379"/>
      <c r="D353" s="379"/>
      <c r="E353" s="379"/>
      <c r="F353" s="379"/>
      <c r="G353" s="380"/>
    </row>
    <row r="354" spans="1:7" s="373" customFormat="1" ht="13.8" x14ac:dyDescent="0.3">
      <c r="A354" s="378"/>
      <c r="B354" s="378"/>
      <c r="C354" s="379"/>
      <c r="D354" s="379"/>
      <c r="E354" s="379"/>
      <c r="F354" s="379"/>
      <c r="G354" s="380"/>
    </row>
    <row r="355" spans="1:7" s="373" customFormat="1" ht="13.8" x14ac:dyDescent="0.3">
      <c r="A355" s="378"/>
      <c r="B355" s="378"/>
      <c r="C355" s="379"/>
      <c r="D355" s="379"/>
      <c r="E355" s="379"/>
      <c r="F355" s="379"/>
      <c r="G355" s="380"/>
    </row>
    <row r="356" spans="1:7" s="373" customFormat="1" ht="13.8" x14ac:dyDescent="0.3">
      <c r="A356" s="378"/>
      <c r="B356" s="378"/>
      <c r="C356" s="379"/>
      <c r="D356" s="379"/>
      <c r="E356" s="379"/>
      <c r="F356" s="379"/>
      <c r="G356" s="380"/>
    </row>
    <row r="357" spans="1:7" s="373" customFormat="1" ht="13.8" x14ac:dyDescent="0.3">
      <c r="A357" s="378"/>
      <c r="B357" s="378"/>
      <c r="C357" s="379"/>
      <c r="D357" s="379"/>
      <c r="E357" s="379"/>
      <c r="F357" s="379"/>
      <c r="G357" s="380"/>
    </row>
    <row r="358" spans="1:7" s="373" customFormat="1" ht="13.8" x14ac:dyDescent="0.3">
      <c r="A358" s="378"/>
      <c r="B358" s="378"/>
      <c r="C358" s="379"/>
      <c r="D358" s="379"/>
      <c r="E358" s="379"/>
      <c r="F358" s="379"/>
      <c r="G358" s="380"/>
    </row>
    <row r="359" spans="1:7" s="373" customFormat="1" ht="13.8" x14ac:dyDescent="0.3">
      <c r="A359" s="378"/>
      <c r="B359" s="378"/>
      <c r="C359" s="379"/>
      <c r="D359" s="379"/>
      <c r="E359" s="379"/>
      <c r="F359" s="379"/>
      <c r="G359" s="380"/>
    </row>
    <row r="360" spans="1:7" s="373" customFormat="1" ht="13.8" x14ac:dyDescent="0.3">
      <c r="A360" s="378"/>
      <c r="B360" s="378"/>
      <c r="C360" s="379"/>
      <c r="D360" s="379"/>
      <c r="E360" s="379"/>
      <c r="F360" s="379"/>
      <c r="G360" s="380"/>
    </row>
    <row r="361" spans="1:7" s="373" customFormat="1" ht="13.8" x14ac:dyDescent="0.3">
      <c r="A361" s="378"/>
      <c r="B361" s="378"/>
      <c r="C361" s="379"/>
      <c r="D361" s="379"/>
      <c r="E361" s="379"/>
      <c r="F361" s="379"/>
      <c r="G361" s="380"/>
    </row>
    <row r="362" spans="1:7" s="373" customFormat="1" ht="13.8" x14ac:dyDescent="0.3">
      <c r="A362" s="378"/>
      <c r="B362" s="378"/>
      <c r="C362" s="379"/>
      <c r="D362" s="379"/>
      <c r="E362" s="379"/>
      <c r="F362" s="379"/>
      <c r="G362" s="380"/>
    </row>
    <row r="363" spans="1:7" s="373" customFormat="1" ht="13.8" x14ac:dyDescent="0.3">
      <c r="A363" s="378"/>
      <c r="B363" s="378"/>
      <c r="C363" s="379"/>
      <c r="D363" s="379"/>
      <c r="E363" s="379"/>
      <c r="F363" s="379"/>
      <c r="G363" s="380"/>
    </row>
    <row r="364" spans="1:7" s="373" customFormat="1" ht="13.8" x14ac:dyDescent="0.3">
      <c r="A364" s="378"/>
      <c r="B364" s="378"/>
      <c r="C364" s="379"/>
      <c r="D364" s="379"/>
      <c r="E364" s="379"/>
      <c r="F364" s="379"/>
      <c r="G364" s="380"/>
    </row>
    <row r="365" spans="1:7" s="373" customFormat="1" ht="13.8" x14ac:dyDescent="0.3">
      <c r="A365" s="378"/>
      <c r="B365" s="378"/>
      <c r="C365" s="379"/>
      <c r="D365" s="379"/>
      <c r="E365" s="379"/>
      <c r="F365" s="379"/>
      <c r="G365" s="380"/>
    </row>
    <row r="366" spans="1:7" s="373" customFormat="1" ht="13.8" x14ac:dyDescent="0.3">
      <c r="A366" s="378"/>
      <c r="B366" s="378"/>
      <c r="C366" s="379"/>
      <c r="D366" s="379"/>
      <c r="E366" s="379"/>
      <c r="F366" s="379"/>
      <c r="G366" s="380"/>
    </row>
    <row r="367" spans="1:7" s="373" customFormat="1" ht="13.8" x14ac:dyDescent="0.3">
      <c r="A367" s="378"/>
      <c r="B367" s="378"/>
      <c r="C367" s="379"/>
      <c r="D367" s="379"/>
      <c r="E367" s="379"/>
      <c r="F367" s="379"/>
      <c r="G367" s="380"/>
    </row>
    <row r="368" spans="1:7" s="373" customFormat="1" ht="13.8" x14ac:dyDescent="0.3">
      <c r="A368" s="378"/>
      <c r="B368" s="378"/>
      <c r="C368" s="379"/>
      <c r="D368" s="379"/>
      <c r="E368" s="379"/>
      <c r="F368" s="379"/>
      <c r="G368" s="380"/>
    </row>
    <row r="369" spans="1:7" s="373" customFormat="1" ht="13.8" x14ac:dyDescent="0.3">
      <c r="A369" s="378"/>
      <c r="B369" s="378"/>
      <c r="C369" s="379"/>
      <c r="D369" s="379"/>
      <c r="E369" s="379"/>
      <c r="F369" s="379"/>
      <c r="G369" s="380"/>
    </row>
    <row r="370" spans="1:7" s="373" customFormat="1" ht="13.8" x14ac:dyDescent="0.3">
      <c r="A370" s="378"/>
      <c r="B370" s="378"/>
      <c r="C370" s="379"/>
      <c r="D370" s="379"/>
      <c r="E370" s="379"/>
      <c r="F370" s="379"/>
      <c r="G370" s="380"/>
    </row>
    <row r="371" spans="1:7" s="373" customFormat="1" ht="13.8" x14ac:dyDescent="0.3">
      <c r="A371" s="378"/>
      <c r="B371" s="378"/>
      <c r="C371" s="379"/>
      <c r="D371" s="379"/>
      <c r="E371" s="379"/>
      <c r="F371" s="379"/>
      <c r="G371" s="380"/>
    </row>
    <row r="372" spans="1:7" s="373" customFormat="1" ht="13.8" x14ac:dyDescent="0.3">
      <c r="A372" s="378"/>
      <c r="B372" s="378"/>
      <c r="C372" s="379"/>
      <c r="D372" s="379"/>
      <c r="E372" s="379"/>
      <c r="F372" s="379"/>
      <c r="G372" s="380"/>
    </row>
    <row r="373" spans="1:7" s="373" customFormat="1" ht="13.8" x14ac:dyDescent="0.3">
      <c r="A373" s="378"/>
      <c r="B373" s="378"/>
      <c r="C373" s="379"/>
      <c r="D373" s="379"/>
      <c r="E373" s="379"/>
      <c r="F373" s="379"/>
      <c r="G373" s="380"/>
    </row>
    <row r="374" spans="1:7" s="373" customFormat="1" ht="13.8" x14ac:dyDescent="0.3">
      <c r="A374" s="378"/>
      <c r="B374" s="378"/>
      <c r="C374" s="379"/>
      <c r="D374" s="379"/>
      <c r="E374" s="379"/>
      <c r="F374" s="379"/>
      <c r="G374" s="380"/>
    </row>
    <row r="375" spans="1:7" s="373" customFormat="1" ht="13.8" x14ac:dyDescent="0.3">
      <c r="A375" s="378"/>
      <c r="B375" s="378"/>
      <c r="C375" s="379"/>
      <c r="D375" s="379"/>
      <c r="E375" s="379"/>
      <c r="F375" s="379"/>
      <c r="G375" s="380"/>
    </row>
    <row r="376" spans="1:7" s="373" customFormat="1" ht="13.8" x14ac:dyDescent="0.3">
      <c r="A376" s="378"/>
      <c r="B376" s="378"/>
      <c r="C376" s="379"/>
      <c r="D376" s="379"/>
      <c r="E376" s="379"/>
      <c r="F376" s="379"/>
      <c r="G376" s="380"/>
    </row>
    <row r="377" spans="1:7" s="373" customFormat="1" ht="13.8" x14ac:dyDescent="0.3">
      <c r="A377" s="378"/>
      <c r="B377" s="378"/>
      <c r="C377" s="379"/>
      <c r="D377" s="379"/>
      <c r="E377" s="379"/>
      <c r="F377" s="379"/>
      <c r="G377" s="380"/>
    </row>
    <row r="378" spans="1:7" s="373" customFormat="1" ht="13.8" x14ac:dyDescent="0.3">
      <c r="A378" s="378"/>
      <c r="B378" s="378"/>
      <c r="C378" s="379"/>
      <c r="D378" s="379"/>
      <c r="E378" s="379"/>
      <c r="F378" s="379"/>
      <c r="G378" s="380"/>
    </row>
    <row r="379" spans="1:7" s="373" customFormat="1" ht="13.8" x14ac:dyDescent="0.3">
      <c r="A379" s="378"/>
      <c r="B379" s="378"/>
      <c r="C379" s="379"/>
      <c r="D379" s="379"/>
      <c r="E379" s="379"/>
      <c r="F379" s="379"/>
      <c r="G379" s="380"/>
    </row>
    <row r="380" spans="1:7" s="373" customFormat="1" ht="13.8" x14ac:dyDescent="0.3">
      <c r="A380" s="378"/>
      <c r="B380" s="378"/>
      <c r="C380" s="379"/>
      <c r="D380" s="379"/>
      <c r="E380" s="379"/>
      <c r="F380" s="379"/>
      <c r="G380" s="380"/>
    </row>
    <row r="381" spans="1:7" s="373" customFormat="1" ht="13.8" x14ac:dyDescent="0.3">
      <c r="A381" s="378"/>
      <c r="B381" s="378"/>
      <c r="C381" s="379"/>
      <c r="D381" s="379"/>
      <c r="E381" s="379"/>
      <c r="F381" s="379"/>
      <c r="G381" s="380"/>
    </row>
    <row r="382" spans="1:7" s="373" customFormat="1" ht="13.8" x14ac:dyDescent="0.3">
      <c r="A382" s="378"/>
      <c r="B382" s="378"/>
      <c r="C382" s="379"/>
      <c r="D382" s="379"/>
      <c r="E382" s="379"/>
      <c r="F382" s="379"/>
      <c r="G382" s="380"/>
    </row>
    <row r="383" spans="1:7" s="373" customFormat="1" ht="13.8" x14ac:dyDescent="0.3">
      <c r="A383" s="378"/>
      <c r="B383" s="378"/>
      <c r="C383" s="379"/>
      <c r="D383" s="379"/>
      <c r="E383" s="379"/>
      <c r="F383" s="379"/>
      <c r="G383" s="380"/>
    </row>
    <row r="384" spans="1:7" s="373" customFormat="1" ht="13.8" x14ac:dyDescent="0.3">
      <c r="A384" s="378"/>
      <c r="B384" s="378"/>
      <c r="C384" s="379"/>
      <c r="D384" s="379"/>
      <c r="E384" s="379"/>
      <c r="F384" s="379"/>
      <c r="G384" s="380"/>
    </row>
    <row r="385" spans="1:7" s="373" customFormat="1" ht="13.8" x14ac:dyDescent="0.3">
      <c r="A385" s="378"/>
      <c r="B385" s="378"/>
      <c r="C385" s="379"/>
      <c r="D385" s="379"/>
      <c r="E385" s="379"/>
      <c r="F385" s="379"/>
      <c r="G385" s="380"/>
    </row>
    <row r="386" spans="1:7" s="373" customFormat="1" ht="13.8" x14ac:dyDescent="0.3">
      <c r="A386" s="378"/>
      <c r="B386" s="378"/>
      <c r="C386" s="379"/>
      <c r="D386" s="379"/>
      <c r="E386" s="379"/>
      <c r="F386" s="379"/>
      <c r="G386" s="380"/>
    </row>
    <row r="387" spans="1:7" s="373" customFormat="1" ht="13.8" x14ac:dyDescent="0.3">
      <c r="A387" s="378"/>
      <c r="B387" s="378"/>
      <c r="C387" s="379"/>
      <c r="D387" s="379"/>
      <c r="E387" s="379"/>
      <c r="F387" s="379"/>
      <c r="G387" s="380"/>
    </row>
    <row r="388" spans="1:7" s="373" customFormat="1" ht="13.8" x14ac:dyDescent="0.3">
      <c r="A388" s="378"/>
      <c r="B388" s="378"/>
      <c r="C388" s="379"/>
      <c r="D388" s="379"/>
      <c r="E388" s="379"/>
      <c r="F388" s="379"/>
      <c r="G388" s="380"/>
    </row>
    <row r="389" spans="1:7" s="373" customFormat="1" ht="13.8" x14ac:dyDescent="0.3">
      <c r="A389" s="378"/>
      <c r="B389" s="378"/>
      <c r="C389" s="379"/>
      <c r="D389" s="379"/>
      <c r="E389" s="379"/>
      <c r="F389" s="379"/>
      <c r="G389" s="380"/>
    </row>
    <row r="390" spans="1:7" s="373" customFormat="1" ht="13.8" x14ac:dyDescent="0.3">
      <c r="A390" s="378"/>
      <c r="B390" s="378"/>
      <c r="C390" s="379"/>
      <c r="D390" s="379"/>
      <c r="E390" s="379"/>
      <c r="F390" s="379"/>
      <c r="G390" s="380"/>
    </row>
    <row r="391" spans="1:7" s="373" customFormat="1" ht="13.8" x14ac:dyDescent="0.3">
      <c r="A391" s="378"/>
      <c r="B391" s="378"/>
      <c r="C391" s="379"/>
      <c r="D391" s="379"/>
      <c r="E391" s="379"/>
      <c r="F391" s="379"/>
      <c r="G391" s="380"/>
    </row>
    <row r="392" spans="1:7" s="373" customFormat="1" ht="13.8" x14ac:dyDescent="0.3">
      <c r="A392" s="378"/>
      <c r="B392" s="378"/>
      <c r="C392" s="379"/>
      <c r="D392" s="379"/>
      <c r="E392" s="379"/>
      <c r="F392" s="379"/>
      <c r="G392" s="380"/>
    </row>
    <row r="393" spans="1:7" s="373" customFormat="1" ht="13.8" x14ac:dyDescent="0.3">
      <c r="A393" s="378"/>
      <c r="B393" s="378"/>
      <c r="C393" s="379"/>
      <c r="D393" s="379"/>
      <c r="E393" s="379"/>
      <c r="F393" s="379"/>
      <c r="G393" s="380"/>
    </row>
    <row r="394" spans="1:7" s="373" customFormat="1" ht="13.8" x14ac:dyDescent="0.3">
      <c r="A394" s="378"/>
      <c r="B394" s="378"/>
      <c r="C394" s="379"/>
      <c r="D394" s="379"/>
      <c r="E394" s="379"/>
      <c r="F394" s="379"/>
      <c r="G394" s="380"/>
    </row>
    <row r="395" spans="1:7" s="373" customFormat="1" ht="13.8" x14ac:dyDescent="0.3">
      <c r="A395" s="378"/>
      <c r="B395" s="378"/>
      <c r="C395" s="379"/>
      <c r="D395" s="379"/>
      <c r="E395" s="379"/>
      <c r="F395" s="379"/>
      <c r="G395" s="380"/>
    </row>
    <row r="396" spans="1:7" s="373" customFormat="1" ht="13.8" x14ac:dyDescent="0.3">
      <c r="A396" s="378"/>
      <c r="B396" s="378"/>
      <c r="C396" s="379"/>
      <c r="D396" s="379"/>
      <c r="E396" s="379"/>
      <c r="F396" s="379"/>
      <c r="G396" s="380"/>
    </row>
    <row r="397" spans="1:7" s="373" customFormat="1" ht="13.8" x14ac:dyDescent="0.3">
      <c r="A397" s="378"/>
      <c r="B397" s="378"/>
      <c r="C397" s="379"/>
      <c r="D397" s="379"/>
      <c r="E397" s="379"/>
      <c r="F397" s="379"/>
      <c r="G397" s="380"/>
    </row>
    <row r="398" spans="1:7" s="373" customFormat="1" ht="13.8" x14ac:dyDescent="0.3">
      <c r="A398" s="378"/>
      <c r="B398" s="378"/>
      <c r="C398" s="379"/>
      <c r="D398" s="379"/>
      <c r="E398" s="379"/>
      <c r="F398" s="379"/>
      <c r="G398" s="380"/>
    </row>
    <row r="399" spans="1:7" s="373" customFormat="1" ht="13.8" x14ac:dyDescent="0.3">
      <c r="A399" s="378"/>
      <c r="B399" s="378"/>
      <c r="C399" s="379"/>
      <c r="D399" s="379"/>
      <c r="E399" s="379"/>
      <c r="F399" s="379"/>
      <c r="G399" s="380"/>
    </row>
    <row r="400" spans="1:7" s="373" customFormat="1" ht="13.8" x14ac:dyDescent="0.3">
      <c r="A400" s="378"/>
      <c r="B400" s="378"/>
      <c r="C400" s="379"/>
      <c r="D400" s="379"/>
      <c r="E400" s="379"/>
      <c r="F400" s="379"/>
      <c r="G400" s="380"/>
    </row>
    <row r="401" spans="1:7" s="373" customFormat="1" ht="13.8" x14ac:dyDescent="0.3">
      <c r="A401" s="378"/>
      <c r="B401" s="378"/>
      <c r="C401" s="379"/>
      <c r="D401" s="379"/>
      <c r="E401" s="379"/>
      <c r="F401" s="379"/>
      <c r="G401" s="380"/>
    </row>
    <row r="402" spans="1:7" s="373" customFormat="1" ht="13.8" x14ac:dyDescent="0.3">
      <c r="A402" s="378"/>
      <c r="B402" s="378"/>
      <c r="C402" s="379"/>
      <c r="D402" s="379"/>
      <c r="E402" s="379"/>
      <c r="F402" s="379"/>
      <c r="G402" s="380"/>
    </row>
    <row r="403" spans="1:7" s="373" customFormat="1" ht="13.8" x14ac:dyDescent="0.3">
      <c r="A403" s="378"/>
      <c r="B403" s="378"/>
      <c r="C403" s="379"/>
      <c r="D403" s="379"/>
      <c r="E403" s="379"/>
      <c r="F403" s="379"/>
      <c r="G403" s="380"/>
    </row>
    <row r="404" spans="1:7" s="373" customFormat="1" ht="13.8" x14ac:dyDescent="0.3">
      <c r="A404" s="378"/>
      <c r="B404" s="378"/>
      <c r="C404" s="379"/>
      <c r="D404" s="379"/>
      <c r="E404" s="379"/>
      <c r="F404" s="379"/>
      <c r="G404" s="380"/>
    </row>
    <row r="405" spans="1:7" s="373" customFormat="1" ht="13.8" x14ac:dyDescent="0.3">
      <c r="A405" s="378"/>
      <c r="B405" s="378"/>
      <c r="C405" s="379"/>
      <c r="D405" s="379"/>
      <c r="E405" s="379"/>
      <c r="F405" s="379"/>
      <c r="G405" s="380"/>
    </row>
    <row r="406" spans="1:7" s="373" customFormat="1" ht="13.8" x14ac:dyDescent="0.3">
      <c r="A406" s="378"/>
      <c r="B406" s="378"/>
      <c r="C406" s="379"/>
      <c r="D406" s="379"/>
      <c r="E406" s="379"/>
      <c r="F406" s="379"/>
      <c r="G406" s="380"/>
    </row>
    <row r="407" spans="1:7" s="373" customFormat="1" ht="13.8" x14ac:dyDescent="0.3">
      <c r="A407" s="378"/>
      <c r="B407" s="378"/>
      <c r="C407" s="379"/>
      <c r="D407" s="379"/>
      <c r="E407" s="379"/>
      <c r="F407" s="379"/>
      <c r="G407" s="380"/>
    </row>
    <row r="408" spans="1:7" s="373" customFormat="1" ht="13.8" x14ac:dyDescent="0.3">
      <c r="A408" s="378"/>
      <c r="B408" s="378"/>
      <c r="C408" s="379"/>
      <c r="D408" s="379"/>
      <c r="E408" s="379"/>
      <c r="F408" s="379"/>
      <c r="G408" s="380"/>
    </row>
    <row r="409" spans="1:7" s="373" customFormat="1" ht="13.8" x14ac:dyDescent="0.3">
      <c r="A409" s="378"/>
      <c r="B409" s="378"/>
      <c r="C409" s="379"/>
      <c r="D409" s="379"/>
      <c r="E409" s="379"/>
      <c r="F409" s="379"/>
      <c r="G409" s="380"/>
    </row>
    <row r="410" spans="1:7" s="373" customFormat="1" ht="13.8" x14ac:dyDescent="0.3">
      <c r="A410" s="378"/>
      <c r="B410" s="378"/>
      <c r="C410" s="379"/>
      <c r="D410" s="379"/>
      <c r="E410" s="379"/>
      <c r="F410" s="379"/>
      <c r="G410" s="380"/>
    </row>
    <row r="411" spans="1:7" s="373" customFormat="1" ht="13.8" x14ac:dyDescent="0.3">
      <c r="A411" s="378"/>
      <c r="B411" s="378"/>
      <c r="C411" s="379"/>
      <c r="D411" s="379"/>
      <c r="E411" s="379"/>
      <c r="F411" s="379"/>
      <c r="G411" s="380"/>
    </row>
    <row r="412" spans="1:7" s="373" customFormat="1" ht="13.8" x14ac:dyDescent="0.3">
      <c r="A412" s="378"/>
      <c r="B412" s="378"/>
      <c r="C412" s="379"/>
      <c r="D412" s="379"/>
      <c r="E412" s="379"/>
      <c r="F412" s="379"/>
      <c r="G412" s="380"/>
    </row>
    <row r="413" spans="1:7" s="373" customFormat="1" ht="13.8" x14ac:dyDescent="0.3">
      <c r="A413" s="378"/>
      <c r="B413" s="378"/>
      <c r="C413" s="379"/>
      <c r="D413" s="379"/>
      <c r="E413" s="379"/>
      <c r="F413" s="379"/>
      <c r="G413" s="380"/>
    </row>
    <row r="414" spans="1:7" s="373" customFormat="1" ht="13.8" x14ac:dyDescent="0.3">
      <c r="A414" s="378"/>
      <c r="B414" s="378"/>
      <c r="C414" s="379"/>
      <c r="D414" s="379"/>
      <c r="E414" s="379"/>
      <c r="F414" s="379"/>
      <c r="G414" s="380"/>
    </row>
    <row r="415" spans="1:7" s="373" customFormat="1" ht="13.8" x14ac:dyDescent="0.3">
      <c r="A415" s="378"/>
      <c r="B415" s="378"/>
      <c r="C415" s="379"/>
      <c r="D415" s="379"/>
      <c r="E415" s="379"/>
      <c r="F415" s="379"/>
      <c r="G415" s="380"/>
    </row>
    <row r="416" spans="1:7" s="373" customFormat="1" ht="13.8" x14ac:dyDescent="0.3">
      <c r="A416" s="378"/>
      <c r="B416" s="378"/>
      <c r="C416" s="379"/>
      <c r="D416" s="379"/>
      <c r="E416" s="379"/>
      <c r="F416" s="379"/>
      <c r="G416" s="380"/>
    </row>
    <row r="417" spans="1:7" s="373" customFormat="1" ht="13.8" x14ac:dyDescent="0.3">
      <c r="A417" s="378"/>
      <c r="B417" s="378"/>
      <c r="C417" s="379"/>
      <c r="D417" s="379"/>
      <c r="E417" s="379"/>
      <c r="F417" s="379"/>
      <c r="G417" s="380"/>
    </row>
    <row r="418" spans="1:7" s="373" customFormat="1" ht="13.8" x14ac:dyDescent="0.3">
      <c r="A418" s="378"/>
      <c r="B418" s="378"/>
      <c r="C418" s="379"/>
      <c r="D418" s="379"/>
      <c r="E418" s="379"/>
      <c r="F418" s="379"/>
      <c r="G418" s="380"/>
    </row>
    <row r="419" spans="1:7" s="373" customFormat="1" ht="13.8" x14ac:dyDescent="0.3">
      <c r="A419" s="378"/>
      <c r="B419" s="378"/>
      <c r="C419" s="379"/>
      <c r="D419" s="379"/>
      <c r="E419" s="379"/>
      <c r="F419" s="379"/>
      <c r="G419" s="380"/>
    </row>
    <row r="420" spans="1:7" s="373" customFormat="1" ht="13.8" x14ac:dyDescent="0.3">
      <c r="A420" s="378"/>
      <c r="B420" s="378"/>
      <c r="C420" s="379"/>
      <c r="D420" s="379"/>
      <c r="E420" s="379"/>
      <c r="F420" s="379"/>
      <c r="G420" s="380"/>
    </row>
    <row r="421" spans="1:7" s="373" customFormat="1" ht="13.8" x14ac:dyDescent="0.3">
      <c r="A421" s="378"/>
      <c r="B421" s="378"/>
      <c r="C421" s="379"/>
      <c r="D421" s="379"/>
      <c r="E421" s="379"/>
      <c r="F421" s="379"/>
      <c r="G421" s="380"/>
    </row>
    <row r="422" spans="1:7" s="373" customFormat="1" ht="13.8" x14ac:dyDescent="0.3">
      <c r="A422" s="378"/>
      <c r="B422" s="378"/>
      <c r="C422" s="379"/>
      <c r="D422" s="379"/>
      <c r="E422" s="379"/>
      <c r="F422" s="379"/>
      <c r="G422" s="380"/>
    </row>
    <row r="423" spans="1:7" s="373" customFormat="1" ht="13.8" x14ac:dyDescent="0.3">
      <c r="A423" s="378"/>
      <c r="B423" s="378"/>
      <c r="C423" s="379"/>
      <c r="D423" s="379"/>
      <c r="E423" s="379"/>
      <c r="F423" s="379"/>
      <c r="G423" s="380"/>
    </row>
    <row r="424" spans="1:7" s="373" customFormat="1" ht="13.8" x14ac:dyDescent="0.3">
      <c r="A424" s="378"/>
      <c r="B424" s="378"/>
      <c r="C424" s="379"/>
      <c r="D424" s="379"/>
      <c r="E424" s="379"/>
      <c r="F424" s="379"/>
      <c r="G424" s="380"/>
    </row>
    <row r="425" spans="1:7" s="373" customFormat="1" ht="13.8" x14ac:dyDescent="0.3">
      <c r="A425" s="378"/>
      <c r="B425" s="378"/>
      <c r="C425" s="379"/>
      <c r="D425" s="379"/>
      <c r="E425" s="379"/>
      <c r="F425" s="379"/>
      <c r="G425" s="380"/>
    </row>
    <row r="426" spans="1:7" s="373" customFormat="1" ht="13.8" x14ac:dyDescent="0.3">
      <c r="A426" s="378"/>
      <c r="B426" s="378"/>
      <c r="C426" s="379"/>
      <c r="D426" s="379"/>
      <c r="E426" s="379"/>
      <c r="F426" s="379"/>
      <c r="G426" s="380"/>
    </row>
    <row r="427" spans="1:7" s="373" customFormat="1" ht="13.8" x14ac:dyDescent="0.3">
      <c r="A427" s="378"/>
      <c r="B427" s="378"/>
      <c r="C427" s="379"/>
      <c r="D427" s="379"/>
      <c r="E427" s="379"/>
      <c r="F427" s="379"/>
      <c r="G427" s="380"/>
    </row>
    <row r="428" spans="1:7" s="373" customFormat="1" ht="13.8" x14ac:dyDescent="0.3">
      <c r="A428" s="378"/>
      <c r="B428" s="378"/>
      <c r="C428" s="379"/>
      <c r="D428" s="379"/>
      <c r="E428" s="379"/>
      <c r="F428" s="379"/>
      <c r="G428" s="380"/>
    </row>
    <row r="429" spans="1:7" s="373" customFormat="1" ht="13.8" x14ac:dyDescent="0.3">
      <c r="A429" s="378"/>
      <c r="B429" s="378"/>
      <c r="C429" s="379"/>
      <c r="D429" s="379"/>
      <c r="E429" s="379"/>
      <c r="F429" s="379"/>
      <c r="G429" s="380"/>
    </row>
    <row r="430" spans="1:7" s="373" customFormat="1" ht="13.8" x14ac:dyDescent="0.3">
      <c r="A430" s="378"/>
      <c r="B430" s="378"/>
      <c r="C430" s="379"/>
      <c r="D430" s="379"/>
      <c r="E430" s="379"/>
      <c r="F430" s="379"/>
      <c r="G430" s="380"/>
    </row>
    <row r="431" spans="1:7" s="373" customFormat="1" ht="13.8" x14ac:dyDescent="0.3">
      <c r="A431" s="378"/>
      <c r="B431" s="378"/>
      <c r="C431" s="379"/>
      <c r="D431" s="379"/>
      <c r="E431" s="379"/>
      <c r="F431" s="379"/>
      <c r="G431" s="380"/>
    </row>
    <row r="432" spans="1:7" s="373" customFormat="1" ht="13.8" x14ac:dyDescent="0.3">
      <c r="A432" s="378"/>
      <c r="B432" s="378"/>
      <c r="C432" s="379"/>
      <c r="D432" s="379"/>
      <c r="E432" s="379"/>
      <c r="F432" s="379"/>
      <c r="G432" s="380"/>
    </row>
    <row r="433" spans="1:7" s="373" customFormat="1" ht="13.8" x14ac:dyDescent="0.3">
      <c r="A433" s="378"/>
      <c r="B433" s="378"/>
      <c r="C433" s="379"/>
      <c r="D433" s="379"/>
      <c r="E433" s="379"/>
      <c r="F433" s="379"/>
      <c r="G433" s="380"/>
    </row>
    <row r="434" spans="1:7" s="373" customFormat="1" ht="13.8" x14ac:dyDescent="0.3">
      <c r="A434" s="378"/>
      <c r="B434" s="378"/>
      <c r="C434" s="379"/>
      <c r="D434" s="379"/>
      <c r="E434" s="379"/>
      <c r="F434" s="379"/>
      <c r="G434" s="380"/>
    </row>
    <row r="435" spans="1:7" s="373" customFormat="1" ht="13.8" x14ac:dyDescent="0.3">
      <c r="A435" s="378"/>
      <c r="B435" s="378"/>
      <c r="C435" s="379"/>
      <c r="D435" s="379"/>
      <c r="E435" s="379"/>
      <c r="F435" s="379"/>
      <c r="G435" s="380"/>
    </row>
    <row r="436" spans="1:7" s="373" customFormat="1" ht="13.8" x14ac:dyDescent="0.3">
      <c r="A436" s="378"/>
      <c r="B436" s="378"/>
      <c r="C436" s="379"/>
      <c r="D436" s="379"/>
      <c r="E436" s="379"/>
      <c r="F436" s="379"/>
      <c r="G436" s="380"/>
    </row>
    <row r="437" spans="1:7" s="373" customFormat="1" ht="13.8" x14ac:dyDescent="0.3">
      <c r="A437" s="378"/>
      <c r="B437" s="378"/>
      <c r="C437" s="379"/>
      <c r="D437" s="379"/>
      <c r="E437" s="379"/>
      <c r="F437" s="379"/>
      <c r="G437" s="380"/>
    </row>
    <row r="438" spans="1:7" s="373" customFormat="1" ht="13.8" x14ac:dyDescent="0.3">
      <c r="A438" s="378"/>
      <c r="B438" s="378"/>
      <c r="C438" s="379"/>
      <c r="D438" s="379"/>
      <c r="E438" s="379"/>
      <c r="F438" s="379"/>
      <c r="G438" s="380"/>
    </row>
    <row r="439" spans="1:7" s="373" customFormat="1" ht="13.8" x14ac:dyDescent="0.3">
      <c r="A439" s="378"/>
      <c r="B439" s="378"/>
      <c r="C439" s="379"/>
      <c r="D439" s="379"/>
      <c r="E439" s="379"/>
      <c r="F439" s="379"/>
      <c r="G439" s="380"/>
    </row>
    <row r="440" spans="1:7" s="373" customFormat="1" ht="13.8" x14ac:dyDescent="0.3">
      <c r="A440" s="378"/>
      <c r="B440" s="378"/>
      <c r="C440" s="379"/>
      <c r="D440" s="379"/>
      <c r="E440" s="379"/>
      <c r="F440" s="379"/>
      <c r="G440" s="380"/>
    </row>
    <row r="441" spans="1:7" s="373" customFormat="1" ht="13.8" x14ac:dyDescent="0.3">
      <c r="A441" s="378"/>
      <c r="B441" s="378"/>
      <c r="C441" s="379"/>
      <c r="D441" s="379"/>
      <c r="E441" s="379"/>
      <c r="F441" s="379"/>
      <c r="G441" s="380"/>
    </row>
    <row r="442" spans="1:7" s="373" customFormat="1" ht="13.8" x14ac:dyDescent="0.3">
      <c r="A442" s="378"/>
      <c r="B442" s="378"/>
      <c r="C442" s="379"/>
      <c r="D442" s="379"/>
      <c r="E442" s="379"/>
      <c r="F442" s="379"/>
      <c r="G442" s="380"/>
    </row>
    <row r="443" spans="1:7" s="373" customFormat="1" ht="13.8" x14ac:dyDescent="0.3">
      <c r="A443" s="378"/>
      <c r="B443" s="378"/>
      <c r="C443" s="379"/>
      <c r="D443" s="379"/>
      <c r="E443" s="379"/>
      <c r="F443" s="379"/>
      <c r="G443" s="380"/>
    </row>
    <row r="444" spans="1:7" s="373" customFormat="1" ht="13.8" x14ac:dyDescent="0.3">
      <c r="A444" s="378"/>
      <c r="B444" s="378"/>
      <c r="C444" s="379"/>
      <c r="D444" s="379"/>
      <c r="E444" s="379"/>
      <c r="F444" s="379"/>
      <c r="G444" s="380"/>
    </row>
    <row r="445" spans="1:7" s="373" customFormat="1" ht="13.8" x14ac:dyDescent="0.3">
      <c r="A445" s="378"/>
      <c r="B445" s="378"/>
      <c r="C445" s="379"/>
      <c r="D445" s="379"/>
      <c r="E445" s="379"/>
      <c r="F445" s="379"/>
      <c r="G445" s="380"/>
    </row>
    <row r="446" spans="1:7" s="373" customFormat="1" ht="13.8" x14ac:dyDescent="0.3">
      <c r="A446" s="378"/>
      <c r="B446" s="378"/>
      <c r="C446" s="379"/>
      <c r="D446" s="379"/>
      <c r="E446" s="379"/>
      <c r="F446" s="379"/>
      <c r="G446" s="380"/>
    </row>
    <row r="447" spans="1:7" s="373" customFormat="1" ht="13.8" x14ac:dyDescent="0.3">
      <c r="A447" s="378"/>
      <c r="B447" s="378"/>
      <c r="C447" s="379"/>
      <c r="D447" s="379"/>
      <c r="E447" s="379"/>
      <c r="F447" s="379"/>
      <c r="G447" s="380"/>
    </row>
    <row r="448" spans="1:7" s="373" customFormat="1" ht="13.8" x14ac:dyDescent="0.3">
      <c r="A448" s="378"/>
      <c r="B448" s="378"/>
      <c r="C448" s="379"/>
      <c r="D448" s="379"/>
      <c r="E448" s="379"/>
      <c r="F448" s="379"/>
      <c r="G448" s="380"/>
    </row>
    <row r="449" spans="1:7" s="373" customFormat="1" ht="13.8" x14ac:dyDescent="0.3">
      <c r="A449" s="378"/>
      <c r="B449" s="378"/>
      <c r="C449" s="379"/>
      <c r="D449" s="379"/>
      <c r="E449" s="379"/>
      <c r="F449" s="379"/>
      <c r="G449" s="380"/>
    </row>
    <row r="450" spans="1:7" s="373" customFormat="1" ht="13.8" x14ac:dyDescent="0.3">
      <c r="A450" s="378"/>
      <c r="B450" s="378"/>
      <c r="C450" s="379"/>
      <c r="D450" s="379"/>
      <c r="E450" s="379"/>
      <c r="F450" s="379"/>
      <c r="G450" s="380"/>
    </row>
    <row r="451" spans="1:7" s="373" customFormat="1" ht="13.8" x14ac:dyDescent="0.3">
      <c r="A451" s="378"/>
      <c r="B451" s="378"/>
      <c r="C451" s="379"/>
      <c r="D451" s="379"/>
      <c r="E451" s="379"/>
      <c r="F451" s="379"/>
      <c r="G451" s="380"/>
    </row>
    <row r="452" spans="1:7" s="373" customFormat="1" ht="13.8" x14ac:dyDescent="0.3">
      <c r="A452" s="378"/>
      <c r="B452" s="378"/>
      <c r="C452" s="379"/>
      <c r="D452" s="379"/>
      <c r="E452" s="379"/>
      <c r="F452" s="379"/>
      <c r="G452" s="380"/>
    </row>
    <row r="453" spans="1:7" s="373" customFormat="1" ht="13.8" x14ac:dyDescent="0.3">
      <c r="A453" s="378"/>
      <c r="B453" s="378"/>
      <c r="C453" s="379"/>
      <c r="D453" s="379"/>
      <c r="E453" s="379"/>
      <c r="F453" s="379"/>
      <c r="G453" s="380"/>
    </row>
    <row r="454" spans="1:7" s="373" customFormat="1" ht="13.8" x14ac:dyDescent="0.3">
      <c r="A454" s="378"/>
      <c r="B454" s="378"/>
      <c r="C454" s="379"/>
      <c r="D454" s="379"/>
      <c r="E454" s="379"/>
      <c r="F454" s="379"/>
      <c r="G454" s="380"/>
    </row>
    <row r="455" spans="1:7" s="373" customFormat="1" ht="13.8" x14ac:dyDescent="0.3">
      <c r="A455" s="378"/>
      <c r="B455" s="378"/>
      <c r="C455" s="379"/>
      <c r="D455" s="379"/>
      <c r="E455" s="379"/>
      <c r="F455" s="379"/>
      <c r="G455" s="380"/>
    </row>
    <row r="456" spans="1:7" s="373" customFormat="1" ht="13.8" x14ac:dyDescent="0.3">
      <c r="A456" s="378"/>
      <c r="B456" s="378"/>
      <c r="C456" s="379"/>
      <c r="D456" s="379"/>
      <c r="E456" s="379"/>
      <c r="F456" s="379"/>
      <c r="G456" s="380"/>
    </row>
    <row r="457" spans="1:7" s="373" customFormat="1" ht="13.8" x14ac:dyDescent="0.3">
      <c r="A457" s="378"/>
      <c r="B457" s="378"/>
      <c r="C457" s="379"/>
      <c r="D457" s="379"/>
      <c r="E457" s="379"/>
      <c r="F457" s="379"/>
      <c r="G457" s="380"/>
    </row>
    <row r="458" spans="1:7" s="373" customFormat="1" ht="13.8" x14ac:dyDescent="0.3">
      <c r="A458" s="378"/>
      <c r="B458" s="378"/>
      <c r="C458" s="379"/>
      <c r="D458" s="379"/>
      <c r="E458" s="379"/>
      <c r="F458" s="379"/>
      <c r="G458" s="380"/>
    </row>
    <row r="459" spans="1:7" s="373" customFormat="1" ht="13.8" x14ac:dyDescent="0.3">
      <c r="A459" s="378"/>
      <c r="B459" s="378"/>
      <c r="C459" s="379"/>
      <c r="D459" s="379"/>
      <c r="E459" s="379"/>
      <c r="F459" s="379"/>
      <c r="G459" s="380"/>
    </row>
    <row r="460" spans="1:7" s="373" customFormat="1" ht="13.8" x14ac:dyDescent="0.3">
      <c r="A460" s="378"/>
      <c r="B460" s="378"/>
      <c r="C460" s="379"/>
      <c r="D460" s="379"/>
      <c r="E460" s="379"/>
      <c r="F460" s="379"/>
      <c r="G460" s="380"/>
    </row>
    <row r="461" spans="1:7" s="373" customFormat="1" ht="13.8" x14ac:dyDescent="0.3">
      <c r="A461" s="378"/>
      <c r="B461" s="378"/>
      <c r="C461" s="379"/>
      <c r="D461" s="379"/>
      <c r="E461" s="379"/>
      <c r="F461" s="379"/>
      <c r="G461" s="380"/>
    </row>
    <row r="462" spans="1:7" s="373" customFormat="1" ht="13.8" x14ac:dyDescent="0.3">
      <c r="A462" s="378"/>
      <c r="B462" s="378"/>
      <c r="C462" s="379"/>
      <c r="D462" s="379"/>
      <c r="E462" s="379"/>
      <c r="F462" s="379"/>
      <c r="G462" s="380"/>
    </row>
    <row r="463" spans="1:7" s="373" customFormat="1" ht="13.8" x14ac:dyDescent="0.3">
      <c r="A463" s="378"/>
      <c r="B463" s="378"/>
      <c r="C463" s="379"/>
      <c r="D463" s="379"/>
      <c r="E463" s="379"/>
      <c r="F463" s="379"/>
      <c r="G463" s="380"/>
    </row>
    <row r="464" spans="1:7" s="373" customFormat="1" ht="13.8" x14ac:dyDescent="0.3">
      <c r="A464" s="378"/>
      <c r="B464" s="378"/>
      <c r="C464" s="379"/>
      <c r="D464" s="379"/>
      <c r="E464" s="379"/>
      <c r="F464" s="379"/>
      <c r="G464" s="380"/>
    </row>
    <row r="465" spans="1:7" s="373" customFormat="1" ht="13.8" x14ac:dyDescent="0.3">
      <c r="A465" s="378"/>
      <c r="B465" s="378"/>
      <c r="C465" s="379"/>
      <c r="D465" s="379"/>
      <c r="E465" s="379"/>
      <c r="F465" s="379"/>
      <c r="G465" s="380"/>
    </row>
    <row r="466" spans="1:7" s="373" customFormat="1" ht="13.8" x14ac:dyDescent="0.3">
      <c r="A466" s="378"/>
      <c r="B466" s="378"/>
      <c r="C466" s="379"/>
      <c r="D466" s="379"/>
      <c r="E466" s="379"/>
      <c r="F466" s="379"/>
      <c r="G466" s="380"/>
    </row>
    <row r="467" spans="1:7" s="373" customFormat="1" ht="13.8" x14ac:dyDescent="0.3">
      <c r="A467" s="378"/>
      <c r="B467" s="378"/>
      <c r="C467" s="379"/>
      <c r="D467" s="379"/>
      <c r="E467" s="379"/>
      <c r="F467" s="379"/>
      <c r="G467" s="380"/>
    </row>
    <row r="468" spans="1:7" s="373" customFormat="1" ht="13.8" x14ac:dyDescent="0.3">
      <c r="A468" s="378"/>
      <c r="B468" s="378"/>
      <c r="C468" s="379"/>
      <c r="D468" s="379"/>
      <c r="E468" s="379"/>
      <c r="F468" s="379"/>
      <c r="G468" s="380"/>
    </row>
    <row r="469" spans="1:7" s="373" customFormat="1" ht="13.8" x14ac:dyDescent="0.3">
      <c r="A469" s="378"/>
      <c r="B469" s="378"/>
      <c r="C469" s="379"/>
      <c r="D469" s="379"/>
      <c r="E469" s="379"/>
      <c r="F469" s="379"/>
      <c r="G469" s="380"/>
    </row>
    <row r="470" spans="1:7" s="373" customFormat="1" ht="13.8" x14ac:dyDescent="0.3">
      <c r="A470" s="378"/>
      <c r="B470" s="378"/>
      <c r="C470" s="379"/>
      <c r="D470" s="379"/>
      <c r="E470" s="379"/>
      <c r="F470" s="379"/>
      <c r="G470" s="380"/>
    </row>
    <row r="471" spans="1:7" s="373" customFormat="1" ht="13.8" x14ac:dyDescent="0.3">
      <c r="A471" s="378"/>
      <c r="B471" s="378"/>
      <c r="C471" s="379"/>
      <c r="D471" s="379"/>
      <c r="E471" s="379"/>
      <c r="F471" s="379"/>
      <c r="G471" s="380"/>
    </row>
    <row r="472" spans="1:7" s="373" customFormat="1" ht="13.8" x14ac:dyDescent="0.3">
      <c r="A472" s="378"/>
      <c r="B472" s="378"/>
      <c r="C472" s="379"/>
      <c r="D472" s="379"/>
      <c r="E472" s="379"/>
      <c r="F472" s="379"/>
      <c r="G472" s="380"/>
    </row>
    <row r="473" spans="1:7" s="373" customFormat="1" ht="13.8" x14ac:dyDescent="0.3">
      <c r="A473" s="378"/>
      <c r="B473" s="378"/>
      <c r="C473" s="379"/>
      <c r="D473" s="379"/>
      <c r="E473" s="379"/>
      <c r="F473" s="379"/>
      <c r="G473" s="380"/>
    </row>
    <row r="474" spans="1:7" s="373" customFormat="1" ht="13.8" x14ac:dyDescent="0.3">
      <c r="A474" s="378"/>
      <c r="B474" s="378"/>
      <c r="C474" s="379"/>
      <c r="D474" s="379"/>
      <c r="E474" s="379"/>
      <c r="F474" s="379"/>
      <c r="G474" s="380"/>
    </row>
    <row r="475" spans="1:7" s="373" customFormat="1" ht="13.8" x14ac:dyDescent="0.3">
      <c r="A475" s="378"/>
      <c r="B475" s="378"/>
      <c r="C475" s="379"/>
      <c r="D475" s="379"/>
      <c r="E475" s="379"/>
      <c r="F475" s="379"/>
      <c r="G475" s="380"/>
    </row>
    <row r="476" spans="1:7" s="373" customFormat="1" ht="13.8" x14ac:dyDescent="0.3">
      <c r="A476" s="378"/>
      <c r="B476" s="378"/>
      <c r="C476" s="379"/>
      <c r="D476" s="379"/>
      <c r="E476" s="379"/>
      <c r="F476" s="379"/>
      <c r="G476" s="380"/>
    </row>
    <row r="477" spans="1:7" s="373" customFormat="1" ht="13.8" x14ac:dyDescent="0.3">
      <c r="A477" s="378"/>
      <c r="B477" s="378"/>
      <c r="C477" s="379"/>
      <c r="D477" s="379"/>
      <c r="E477" s="379"/>
      <c r="F477" s="379"/>
      <c r="G477" s="380"/>
    </row>
    <row r="478" spans="1:7" s="373" customFormat="1" ht="13.8" x14ac:dyDescent="0.3">
      <c r="A478" s="378"/>
      <c r="B478" s="378"/>
      <c r="C478" s="379"/>
      <c r="D478" s="379"/>
      <c r="E478" s="379"/>
      <c r="F478" s="379"/>
      <c r="G478" s="380"/>
    </row>
    <row r="479" spans="1:7" s="373" customFormat="1" ht="13.8" x14ac:dyDescent="0.3">
      <c r="A479" s="378"/>
      <c r="B479" s="378"/>
      <c r="C479" s="379"/>
      <c r="D479" s="379"/>
      <c r="E479" s="379"/>
      <c r="F479" s="379"/>
      <c r="G479" s="380"/>
    </row>
    <row r="480" spans="1:7" s="373" customFormat="1" ht="13.8" x14ac:dyDescent="0.3">
      <c r="A480" s="378"/>
      <c r="B480" s="378"/>
      <c r="C480" s="379"/>
      <c r="D480" s="379"/>
      <c r="E480" s="379"/>
      <c r="F480" s="379"/>
      <c r="G480" s="380"/>
    </row>
    <row r="481" spans="1:7" s="373" customFormat="1" ht="13.8" x14ac:dyDescent="0.3">
      <c r="A481" s="378"/>
      <c r="B481" s="378"/>
      <c r="C481" s="379"/>
      <c r="D481" s="379"/>
      <c r="E481" s="379"/>
      <c r="F481" s="379"/>
      <c r="G481" s="380"/>
    </row>
    <row r="482" spans="1:7" s="373" customFormat="1" ht="13.8" x14ac:dyDescent="0.3">
      <c r="A482" s="378"/>
      <c r="B482" s="378"/>
      <c r="C482" s="379"/>
      <c r="D482" s="379"/>
      <c r="E482" s="379"/>
      <c r="F482" s="379"/>
      <c r="G482" s="380"/>
    </row>
    <row r="483" spans="1:7" s="373" customFormat="1" ht="13.8" x14ac:dyDescent="0.3">
      <c r="A483" s="378"/>
      <c r="B483" s="378"/>
      <c r="C483" s="379"/>
      <c r="D483" s="379"/>
      <c r="E483" s="379"/>
      <c r="F483" s="379"/>
      <c r="G483" s="380"/>
    </row>
    <row r="484" spans="1:7" s="373" customFormat="1" ht="13.8" x14ac:dyDescent="0.3">
      <c r="A484" s="378"/>
      <c r="B484" s="378"/>
      <c r="C484" s="379"/>
      <c r="D484" s="379"/>
      <c r="E484" s="379"/>
      <c r="F484" s="379"/>
      <c r="G484" s="380"/>
    </row>
    <row r="485" spans="1:7" s="373" customFormat="1" ht="13.8" x14ac:dyDescent="0.3">
      <c r="A485" s="378"/>
      <c r="B485" s="378"/>
      <c r="C485" s="379"/>
      <c r="D485" s="379"/>
      <c r="E485" s="379"/>
      <c r="F485" s="379"/>
      <c r="G485" s="380"/>
    </row>
    <row r="486" spans="1:7" s="373" customFormat="1" ht="13.8" x14ac:dyDescent="0.3">
      <c r="A486" s="378"/>
      <c r="B486" s="378"/>
      <c r="C486" s="379"/>
      <c r="D486" s="379"/>
      <c r="E486" s="379"/>
      <c r="F486" s="379"/>
      <c r="G486" s="380"/>
    </row>
    <row r="487" spans="1:7" s="373" customFormat="1" ht="13.8" x14ac:dyDescent="0.3">
      <c r="A487" s="378"/>
      <c r="B487" s="378"/>
      <c r="C487" s="379"/>
      <c r="D487" s="379"/>
      <c r="E487" s="379"/>
      <c r="F487" s="379"/>
      <c r="G487" s="380"/>
    </row>
    <row r="488" spans="1:7" s="373" customFormat="1" ht="13.8" x14ac:dyDescent="0.3">
      <c r="A488" s="378"/>
      <c r="B488" s="378"/>
      <c r="C488" s="379"/>
      <c r="D488" s="379"/>
      <c r="E488" s="379"/>
      <c r="F488" s="379"/>
      <c r="G488" s="380"/>
    </row>
    <row r="489" spans="1:7" s="373" customFormat="1" ht="13.8" x14ac:dyDescent="0.3">
      <c r="A489" s="378"/>
      <c r="B489" s="378"/>
      <c r="C489" s="379"/>
      <c r="D489" s="379"/>
      <c r="E489" s="379"/>
      <c r="F489" s="379"/>
      <c r="G489" s="380"/>
    </row>
    <row r="490" spans="1:7" s="373" customFormat="1" ht="13.8" x14ac:dyDescent="0.3">
      <c r="A490" s="378"/>
      <c r="B490" s="378"/>
      <c r="C490" s="379"/>
      <c r="D490" s="379"/>
      <c r="E490" s="379"/>
      <c r="F490" s="379"/>
      <c r="G490" s="380"/>
    </row>
    <row r="491" spans="1:7" s="373" customFormat="1" ht="13.8" x14ac:dyDescent="0.3">
      <c r="A491" s="378"/>
      <c r="B491" s="378"/>
      <c r="C491" s="379"/>
      <c r="D491" s="379"/>
      <c r="E491" s="379"/>
      <c r="F491" s="379"/>
      <c r="G491" s="380"/>
    </row>
    <row r="492" spans="1:7" s="373" customFormat="1" ht="13.8" x14ac:dyDescent="0.3">
      <c r="A492" s="378"/>
      <c r="B492" s="378"/>
      <c r="C492" s="379"/>
      <c r="D492" s="379"/>
      <c r="E492" s="379"/>
      <c r="F492" s="379"/>
      <c r="G492" s="380"/>
    </row>
    <row r="493" spans="1:7" s="373" customFormat="1" ht="13.8" x14ac:dyDescent="0.3">
      <c r="A493" s="378"/>
      <c r="B493" s="378"/>
      <c r="C493" s="379"/>
      <c r="D493" s="379"/>
      <c r="E493" s="379"/>
      <c r="F493" s="379"/>
      <c r="G493" s="380"/>
    </row>
    <row r="494" spans="1:7" s="373" customFormat="1" ht="13.8" x14ac:dyDescent="0.3">
      <c r="A494" s="378"/>
      <c r="B494" s="378"/>
      <c r="C494" s="379"/>
      <c r="D494" s="379"/>
      <c r="E494" s="379"/>
      <c r="F494" s="379"/>
      <c r="G494" s="380"/>
    </row>
    <row r="495" spans="1:7" s="373" customFormat="1" ht="13.8" x14ac:dyDescent="0.3">
      <c r="A495" s="378"/>
      <c r="B495" s="378"/>
      <c r="C495" s="379"/>
      <c r="D495" s="379"/>
      <c r="E495" s="379"/>
      <c r="F495" s="379"/>
      <c r="G495" s="380"/>
    </row>
    <row r="496" spans="1:7" s="373" customFormat="1" ht="13.8" x14ac:dyDescent="0.3">
      <c r="A496" s="378"/>
      <c r="B496" s="378"/>
      <c r="C496" s="379"/>
      <c r="D496" s="379"/>
      <c r="E496" s="379"/>
      <c r="F496" s="379"/>
      <c r="G496" s="380"/>
    </row>
    <row r="497" spans="1:7" s="373" customFormat="1" ht="13.8" x14ac:dyDescent="0.3">
      <c r="A497" s="378"/>
      <c r="B497" s="378"/>
      <c r="C497" s="379"/>
      <c r="D497" s="379"/>
      <c r="E497" s="379"/>
      <c r="F497" s="379"/>
      <c r="G497" s="380"/>
    </row>
    <row r="498" spans="1:7" s="373" customFormat="1" ht="13.8" x14ac:dyDescent="0.3">
      <c r="A498" s="378"/>
      <c r="B498" s="378"/>
      <c r="C498" s="379"/>
      <c r="D498" s="379"/>
      <c r="E498" s="379"/>
      <c r="F498" s="379"/>
      <c r="G498" s="380"/>
    </row>
    <row r="499" spans="1:7" s="373" customFormat="1" ht="13.8" x14ac:dyDescent="0.3">
      <c r="A499" s="378"/>
      <c r="B499" s="378"/>
      <c r="C499" s="379"/>
      <c r="D499" s="379"/>
      <c r="E499" s="379"/>
      <c r="F499" s="379"/>
      <c r="G499" s="380"/>
    </row>
    <row r="500" spans="1:7" s="373" customFormat="1" ht="13.8" x14ac:dyDescent="0.3">
      <c r="A500" s="378"/>
      <c r="B500" s="378"/>
      <c r="C500" s="379"/>
      <c r="D500" s="379"/>
      <c r="E500" s="379"/>
      <c r="F500" s="379"/>
      <c r="G500" s="380"/>
    </row>
    <row r="501" spans="1:7" s="373" customFormat="1" ht="13.8" x14ac:dyDescent="0.3">
      <c r="A501" s="378"/>
      <c r="B501" s="378"/>
      <c r="C501" s="379"/>
      <c r="D501" s="379"/>
      <c r="E501" s="379"/>
      <c r="F501" s="379"/>
      <c r="G501" s="380"/>
    </row>
    <row r="502" spans="1:7" s="373" customFormat="1" ht="13.8" x14ac:dyDescent="0.3">
      <c r="A502" s="378"/>
      <c r="B502" s="378"/>
      <c r="C502" s="379"/>
      <c r="D502" s="379"/>
      <c r="E502" s="379"/>
      <c r="F502" s="379"/>
      <c r="G502" s="380"/>
    </row>
    <row r="503" spans="1:7" s="373" customFormat="1" ht="13.8" x14ac:dyDescent="0.3">
      <c r="A503" s="378"/>
      <c r="B503" s="378"/>
      <c r="C503" s="379"/>
      <c r="D503" s="379"/>
      <c r="E503" s="379"/>
      <c r="F503" s="379"/>
      <c r="G503" s="380"/>
    </row>
    <row r="504" spans="1:7" s="373" customFormat="1" ht="13.8" x14ac:dyDescent="0.3">
      <c r="A504" s="378"/>
      <c r="B504" s="378"/>
      <c r="C504" s="379"/>
      <c r="D504" s="379"/>
      <c r="E504" s="379"/>
      <c r="F504" s="379"/>
      <c r="G504" s="380"/>
    </row>
    <row r="505" spans="1:7" s="373" customFormat="1" ht="13.8" x14ac:dyDescent="0.3">
      <c r="A505" s="378"/>
      <c r="B505" s="378"/>
      <c r="C505" s="379"/>
      <c r="D505" s="379"/>
      <c r="E505" s="379"/>
      <c r="F505" s="379"/>
      <c r="G505" s="380"/>
    </row>
    <row r="506" spans="1:7" s="373" customFormat="1" ht="13.8" x14ac:dyDescent="0.3">
      <c r="A506" s="378"/>
      <c r="B506" s="378"/>
      <c r="C506" s="379"/>
      <c r="D506" s="379"/>
      <c r="E506" s="379"/>
      <c r="F506" s="379"/>
      <c r="G506" s="380"/>
    </row>
    <row r="507" spans="1:7" s="373" customFormat="1" ht="13.8" x14ac:dyDescent="0.3">
      <c r="A507" s="378"/>
      <c r="B507" s="378"/>
      <c r="C507" s="379"/>
      <c r="D507" s="379"/>
      <c r="E507" s="379"/>
      <c r="F507" s="379"/>
      <c r="G507" s="380"/>
    </row>
    <row r="508" spans="1:7" s="373" customFormat="1" ht="13.8" x14ac:dyDescent="0.3">
      <c r="A508" s="378"/>
      <c r="B508" s="378"/>
      <c r="C508" s="379"/>
      <c r="D508" s="379"/>
      <c r="E508" s="379"/>
      <c r="F508" s="379"/>
      <c r="G508" s="380"/>
    </row>
    <row r="509" spans="1:7" s="373" customFormat="1" ht="13.8" x14ac:dyDescent="0.3">
      <c r="A509" s="378"/>
      <c r="B509" s="378"/>
      <c r="C509" s="379"/>
      <c r="D509" s="379"/>
      <c r="E509" s="379"/>
      <c r="F509" s="379"/>
      <c r="G509" s="380"/>
    </row>
    <row r="510" spans="1:7" s="373" customFormat="1" ht="13.8" x14ac:dyDescent="0.3">
      <c r="A510" s="378"/>
      <c r="B510" s="378"/>
      <c r="C510" s="379"/>
      <c r="D510" s="379"/>
      <c r="E510" s="379"/>
      <c r="F510" s="379"/>
      <c r="G510" s="380"/>
    </row>
    <row r="511" spans="1:7" s="373" customFormat="1" ht="13.8" x14ac:dyDescent="0.3">
      <c r="A511" s="378"/>
      <c r="B511" s="378"/>
      <c r="C511" s="379"/>
      <c r="D511" s="379"/>
      <c r="E511" s="379"/>
      <c r="F511" s="379"/>
      <c r="G511" s="380"/>
    </row>
    <row r="512" spans="1:7" s="373" customFormat="1" ht="13.8" x14ac:dyDescent="0.3">
      <c r="A512" s="378"/>
      <c r="B512" s="378"/>
      <c r="C512" s="379"/>
      <c r="D512" s="379"/>
      <c r="E512" s="379"/>
      <c r="F512" s="379"/>
      <c r="G512" s="380"/>
    </row>
    <row r="513" spans="1:7" s="373" customFormat="1" ht="13.8" x14ac:dyDescent="0.3">
      <c r="A513" s="378"/>
      <c r="B513" s="378"/>
      <c r="C513" s="379"/>
      <c r="D513" s="379"/>
      <c r="E513" s="379"/>
      <c r="F513" s="379"/>
      <c r="G513" s="380"/>
    </row>
    <row r="514" spans="1:7" s="373" customFormat="1" ht="13.8" x14ac:dyDescent="0.3">
      <c r="A514" s="378"/>
      <c r="B514" s="378"/>
      <c r="C514" s="379"/>
      <c r="D514" s="379"/>
      <c r="E514" s="379"/>
      <c r="F514" s="379"/>
      <c r="G514" s="380"/>
    </row>
    <row r="515" spans="1:7" s="373" customFormat="1" ht="13.8" x14ac:dyDescent="0.3">
      <c r="A515" s="378"/>
      <c r="B515" s="378"/>
      <c r="C515" s="379"/>
      <c r="D515" s="379"/>
      <c r="E515" s="379"/>
      <c r="F515" s="379"/>
      <c r="G515" s="380"/>
    </row>
    <row r="516" spans="1:7" s="373" customFormat="1" ht="13.8" x14ac:dyDescent="0.3">
      <c r="A516" s="378"/>
      <c r="B516" s="378"/>
      <c r="C516" s="379"/>
      <c r="D516" s="379"/>
      <c r="E516" s="379"/>
      <c r="F516" s="379"/>
      <c r="G516" s="380"/>
    </row>
    <row r="517" spans="1:7" s="373" customFormat="1" ht="13.8" x14ac:dyDescent="0.3">
      <c r="A517" s="378"/>
      <c r="B517" s="378"/>
      <c r="C517" s="379"/>
      <c r="D517" s="379"/>
      <c r="E517" s="379"/>
      <c r="F517" s="379"/>
      <c r="G517" s="380"/>
    </row>
    <row r="518" spans="1:7" s="373" customFormat="1" ht="13.8" x14ac:dyDescent="0.3">
      <c r="A518" s="378"/>
      <c r="B518" s="378"/>
      <c r="C518" s="379"/>
      <c r="D518" s="379"/>
      <c r="E518" s="379"/>
      <c r="F518" s="379"/>
      <c r="G518" s="380"/>
    </row>
    <row r="519" spans="1:7" s="373" customFormat="1" ht="13.8" x14ac:dyDescent="0.3">
      <c r="A519" s="378"/>
      <c r="B519" s="378"/>
      <c r="C519" s="379"/>
      <c r="D519" s="379"/>
      <c r="E519" s="379"/>
      <c r="F519" s="379"/>
      <c r="G519" s="380"/>
    </row>
    <row r="520" spans="1:7" s="373" customFormat="1" ht="13.8" x14ac:dyDescent="0.3">
      <c r="A520" s="378"/>
      <c r="B520" s="378"/>
      <c r="C520" s="379"/>
      <c r="D520" s="379"/>
      <c r="E520" s="379"/>
      <c r="F520" s="379"/>
      <c r="G520" s="380"/>
    </row>
    <row r="521" spans="1:7" s="373" customFormat="1" ht="13.8" x14ac:dyDescent="0.3">
      <c r="A521" s="378"/>
      <c r="B521" s="378"/>
      <c r="C521" s="379"/>
      <c r="D521" s="379"/>
      <c r="E521" s="379"/>
      <c r="F521" s="379"/>
      <c r="G521" s="380"/>
    </row>
    <row r="522" spans="1:7" s="373" customFormat="1" ht="13.8" x14ac:dyDescent="0.3">
      <c r="A522" s="378"/>
      <c r="B522" s="378"/>
      <c r="C522" s="379"/>
      <c r="D522" s="379"/>
      <c r="E522" s="379"/>
      <c r="F522" s="379"/>
      <c r="G522" s="380"/>
    </row>
    <row r="523" spans="1:7" s="373" customFormat="1" ht="13.8" x14ac:dyDescent="0.3">
      <c r="A523" s="378"/>
      <c r="B523" s="378"/>
      <c r="C523" s="379"/>
      <c r="D523" s="379"/>
      <c r="E523" s="379"/>
      <c r="F523" s="379"/>
      <c r="G523" s="380"/>
    </row>
    <row r="524" spans="1:7" s="373" customFormat="1" ht="13.8" x14ac:dyDescent="0.3">
      <c r="A524" s="378"/>
      <c r="B524" s="378"/>
      <c r="C524" s="379"/>
      <c r="D524" s="379"/>
      <c r="E524" s="379"/>
      <c r="F524" s="379"/>
      <c r="G524" s="380"/>
    </row>
    <row r="525" spans="1:7" s="373" customFormat="1" ht="13.8" x14ac:dyDescent="0.3">
      <c r="A525" s="378"/>
      <c r="B525" s="378"/>
      <c r="C525" s="379"/>
      <c r="D525" s="379"/>
      <c r="E525" s="379"/>
      <c r="F525" s="379"/>
      <c r="G525" s="380"/>
    </row>
    <row r="526" spans="1:7" s="373" customFormat="1" ht="13.8" x14ac:dyDescent="0.3">
      <c r="A526" s="378"/>
      <c r="B526" s="378"/>
      <c r="C526" s="379"/>
      <c r="D526" s="379"/>
      <c r="E526" s="379"/>
      <c r="F526" s="379"/>
      <c r="G526" s="380"/>
    </row>
    <row r="527" spans="1:7" s="373" customFormat="1" ht="13.8" x14ac:dyDescent="0.3">
      <c r="A527" s="378"/>
      <c r="B527" s="378"/>
      <c r="C527" s="379"/>
      <c r="D527" s="379"/>
      <c r="E527" s="379"/>
      <c r="F527" s="379"/>
      <c r="G527" s="380"/>
    </row>
    <row r="528" spans="1:7" s="373" customFormat="1" ht="13.8" x14ac:dyDescent="0.3">
      <c r="A528" s="378"/>
      <c r="B528" s="378"/>
      <c r="C528" s="379"/>
      <c r="D528" s="379"/>
      <c r="E528" s="379"/>
      <c r="F528" s="379"/>
      <c r="G528" s="380"/>
    </row>
    <row r="529" spans="1:7" s="373" customFormat="1" ht="13.8" x14ac:dyDescent="0.3">
      <c r="A529" s="378"/>
      <c r="B529" s="378"/>
      <c r="C529" s="379"/>
      <c r="D529" s="379"/>
      <c r="E529" s="379"/>
      <c r="F529" s="379"/>
      <c r="G529" s="380"/>
    </row>
    <row r="530" spans="1:7" s="373" customFormat="1" ht="13.8" x14ac:dyDescent="0.3">
      <c r="A530" s="378"/>
      <c r="B530" s="378"/>
      <c r="C530" s="379"/>
      <c r="D530" s="379"/>
      <c r="E530" s="379"/>
      <c r="F530" s="379"/>
      <c r="G530" s="380"/>
    </row>
    <row r="531" spans="1:7" s="373" customFormat="1" ht="13.8" x14ac:dyDescent="0.3">
      <c r="A531" s="378"/>
      <c r="B531" s="378"/>
      <c r="C531" s="379"/>
      <c r="D531" s="379"/>
      <c r="E531" s="379"/>
      <c r="F531" s="379"/>
      <c r="G531" s="380"/>
    </row>
    <row r="532" spans="1:7" s="373" customFormat="1" ht="13.8" x14ac:dyDescent="0.3">
      <c r="A532" s="378"/>
      <c r="B532" s="378"/>
      <c r="C532" s="379"/>
      <c r="D532" s="379"/>
      <c r="E532" s="379"/>
      <c r="F532" s="379"/>
      <c r="G532" s="380"/>
    </row>
    <row r="533" spans="1:7" s="373" customFormat="1" ht="13.8" x14ac:dyDescent="0.3">
      <c r="A533" s="378"/>
      <c r="B533" s="378"/>
      <c r="C533" s="379"/>
      <c r="D533" s="379"/>
      <c r="E533" s="379"/>
      <c r="F533" s="379"/>
      <c r="G533" s="380"/>
    </row>
    <row r="534" spans="1:7" s="373" customFormat="1" ht="13.8" x14ac:dyDescent="0.3">
      <c r="A534" s="378"/>
      <c r="B534" s="378"/>
      <c r="C534" s="379"/>
      <c r="D534" s="379"/>
      <c r="E534" s="379"/>
      <c r="F534" s="379"/>
      <c r="G534" s="380"/>
    </row>
    <row r="535" spans="1:7" s="373" customFormat="1" ht="13.8" x14ac:dyDescent="0.3">
      <c r="A535" s="378"/>
      <c r="B535" s="378"/>
      <c r="C535" s="379"/>
      <c r="D535" s="379"/>
      <c r="E535" s="379"/>
      <c r="F535" s="379"/>
      <c r="G535" s="380"/>
    </row>
    <row r="536" spans="1:7" s="373" customFormat="1" ht="13.8" x14ac:dyDescent="0.3">
      <c r="A536" s="378"/>
      <c r="B536" s="378"/>
      <c r="C536" s="379"/>
      <c r="D536" s="379"/>
      <c r="E536" s="379"/>
      <c r="F536" s="379"/>
      <c r="G536" s="380"/>
    </row>
    <row r="537" spans="1:7" s="373" customFormat="1" ht="13.8" x14ac:dyDescent="0.3">
      <c r="A537" s="378"/>
      <c r="B537" s="378"/>
      <c r="C537" s="379"/>
      <c r="D537" s="379"/>
      <c r="E537" s="379"/>
      <c r="F537" s="379"/>
      <c r="G537" s="380"/>
    </row>
    <row r="538" spans="1:7" s="373" customFormat="1" ht="13.8" x14ac:dyDescent="0.3">
      <c r="A538" s="378"/>
      <c r="B538" s="378"/>
      <c r="C538" s="379"/>
      <c r="D538" s="379"/>
      <c r="E538" s="379"/>
      <c r="F538" s="379"/>
      <c r="G538" s="380"/>
    </row>
    <row r="539" spans="1:7" s="373" customFormat="1" ht="13.8" x14ac:dyDescent="0.3">
      <c r="A539" s="378"/>
      <c r="B539" s="378"/>
      <c r="C539" s="379"/>
      <c r="D539" s="379"/>
      <c r="E539" s="379"/>
      <c r="F539" s="379"/>
      <c r="G539" s="380"/>
    </row>
    <row r="540" spans="1:7" s="373" customFormat="1" ht="13.8" x14ac:dyDescent="0.3">
      <c r="A540" s="378"/>
      <c r="B540" s="378"/>
      <c r="C540" s="379"/>
      <c r="D540" s="379"/>
      <c r="E540" s="379"/>
      <c r="F540" s="379"/>
      <c r="G540" s="380"/>
    </row>
    <row r="541" spans="1:7" s="373" customFormat="1" ht="13.8" x14ac:dyDescent="0.3">
      <c r="A541" s="378"/>
      <c r="B541" s="378"/>
      <c r="C541" s="379"/>
      <c r="D541" s="379"/>
      <c r="E541" s="379"/>
      <c r="F541" s="379"/>
      <c r="G541" s="380"/>
    </row>
    <row r="542" spans="1:7" s="373" customFormat="1" ht="13.8" x14ac:dyDescent="0.3">
      <c r="A542" s="378"/>
      <c r="B542" s="378"/>
      <c r="C542" s="379"/>
      <c r="D542" s="379"/>
      <c r="E542" s="379"/>
      <c r="F542" s="379"/>
      <c r="G542" s="380"/>
    </row>
    <row r="543" spans="1:7" s="373" customFormat="1" ht="13.8" x14ac:dyDescent="0.3">
      <c r="A543" s="378"/>
      <c r="B543" s="378"/>
      <c r="C543" s="379"/>
      <c r="D543" s="379"/>
      <c r="E543" s="379"/>
      <c r="F543" s="379"/>
      <c r="G543" s="380"/>
    </row>
    <row r="544" spans="1:7" s="373" customFormat="1" ht="13.8" x14ac:dyDescent="0.3">
      <c r="A544" s="378"/>
      <c r="B544" s="378"/>
      <c r="C544" s="379"/>
      <c r="D544" s="379"/>
      <c r="E544" s="379"/>
      <c r="F544" s="379"/>
      <c r="G544" s="380"/>
    </row>
    <row r="545" spans="1:7" s="373" customFormat="1" ht="13.8" x14ac:dyDescent="0.3">
      <c r="A545" s="378"/>
      <c r="B545" s="378"/>
      <c r="C545" s="379"/>
      <c r="D545" s="379"/>
      <c r="E545" s="379"/>
      <c r="F545" s="379"/>
      <c r="G545" s="380"/>
    </row>
    <row r="546" spans="1:7" s="373" customFormat="1" ht="13.8" x14ac:dyDescent="0.3">
      <c r="A546" s="378"/>
      <c r="B546" s="378"/>
      <c r="C546" s="379"/>
      <c r="D546" s="379"/>
      <c r="E546" s="379"/>
      <c r="F546" s="379"/>
      <c r="G546" s="380"/>
    </row>
    <row r="547" spans="1:7" s="373" customFormat="1" ht="13.8" x14ac:dyDescent="0.3">
      <c r="A547" s="378"/>
      <c r="B547" s="378"/>
      <c r="C547" s="379"/>
      <c r="D547" s="379"/>
      <c r="E547" s="379"/>
      <c r="F547" s="379"/>
      <c r="G547" s="380"/>
    </row>
    <row r="548" spans="1:7" s="373" customFormat="1" ht="13.8" x14ac:dyDescent="0.3">
      <c r="A548" s="378"/>
      <c r="B548" s="378"/>
      <c r="C548" s="379"/>
      <c r="D548" s="379"/>
      <c r="E548" s="379"/>
      <c r="F548" s="379"/>
      <c r="G548" s="380"/>
    </row>
    <row r="549" spans="1:7" s="373" customFormat="1" ht="13.8" x14ac:dyDescent="0.3">
      <c r="A549" s="378"/>
      <c r="B549" s="378"/>
      <c r="C549" s="379"/>
      <c r="D549" s="379"/>
      <c r="E549" s="379"/>
      <c r="F549" s="379"/>
      <c r="G549" s="380"/>
    </row>
    <row r="550" spans="1:7" s="373" customFormat="1" ht="13.8" x14ac:dyDescent="0.3">
      <c r="A550" s="378"/>
      <c r="B550" s="378"/>
      <c r="C550" s="379"/>
      <c r="D550" s="379"/>
      <c r="E550" s="379"/>
      <c r="F550" s="379"/>
      <c r="G550" s="380"/>
    </row>
    <row r="551" spans="1:7" s="373" customFormat="1" ht="13.8" x14ac:dyDescent="0.3">
      <c r="A551" s="378"/>
      <c r="B551" s="378"/>
      <c r="C551" s="379"/>
      <c r="D551" s="379"/>
      <c r="E551" s="379"/>
      <c r="F551" s="379"/>
      <c r="G551" s="380"/>
    </row>
    <row r="552" spans="1:7" s="373" customFormat="1" ht="13.8" x14ac:dyDescent="0.3">
      <c r="A552" s="378"/>
      <c r="B552" s="378"/>
      <c r="C552" s="379"/>
      <c r="D552" s="379"/>
      <c r="E552" s="379"/>
      <c r="F552" s="379"/>
      <c r="G552" s="380"/>
    </row>
    <row r="553" spans="1:7" s="373" customFormat="1" ht="13.8" x14ac:dyDescent="0.3">
      <c r="A553" s="378"/>
      <c r="B553" s="378"/>
      <c r="C553" s="379"/>
      <c r="D553" s="379"/>
      <c r="E553" s="379"/>
      <c r="F553" s="379"/>
      <c r="G553" s="380"/>
    </row>
    <row r="554" spans="1:7" s="373" customFormat="1" ht="13.8" x14ac:dyDescent="0.3">
      <c r="A554" s="378"/>
      <c r="B554" s="378"/>
      <c r="C554" s="379"/>
      <c r="D554" s="379"/>
      <c r="E554" s="379"/>
      <c r="F554" s="379"/>
      <c r="G554" s="380"/>
    </row>
    <row r="555" spans="1:7" s="373" customFormat="1" ht="13.8" x14ac:dyDescent="0.3">
      <c r="A555" s="378"/>
      <c r="B555" s="378"/>
      <c r="C555" s="379"/>
      <c r="D555" s="379"/>
      <c r="E555" s="379"/>
      <c r="F555" s="379"/>
      <c r="G555" s="380"/>
    </row>
    <row r="556" spans="1:7" s="373" customFormat="1" ht="13.8" x14ac:dyDescent="0.3">
      <c r="A556" s="378"/>
      <c r="B556" s="378"/>
      <c r="C556" s="379"/>
      <c r="D556" s="379"/>
      <c r="E556" s="379"/>
      <c r="F556" s="379"/>
      <c r="G556" s="380"/>
    </row>
    <row r="557" spans="1:7" s="373" customFormat="1" ht="13.8" x14ac:dyDescent="0.3">
      <c r="A557" s="378"/>
      <c r="B557" s="378"/>
      <c r="C557" s="379"/>
      <c r="D557" s="379"/>
      <c r="E557" s="379"/>
      <c r="F557" s="379"/>
      <c r="G557" s="380"/>
    </row>
    <row r="558" spans="1:7" s="373" customFormat="1" ht="13.8" x14ac:dyDescent="0.3">
      <c r="A558" s="378"/>
      <c r="B558" s="378"/>
      <c r="C558" s="379"/>
      <c r="D558" s="379"/>
      <c r="E558" s="379"/>
      <c r="F558" s="379"/>
      <c r="G558" s="380"/>
    </row>
    <row r="559" spans="1:7" s="373" customFormat="1" ht="13.8" x14ac:dyDescent="0.3">
      <c r="A559" s="378"/>
      <c r="B559" s="378"/>
      <c r="C559" s="379"/>
      <c r="D559" s="379"/>
      <c r="E559" s="379"/>
      <c r="F559" s="379"/>
      <c r="G559" s="380"/>
    </row>
    <row r="560" spans="1:7" s="373" customFormat="1" ht="13.8" x14ac:dyDescent="0.3">
      <c r="A560" s="378"/>
      <c r="B560" s="378"/>
      <c r="C560" s="379"/>
      <c r="D560" s="379"/>
      <c r="E560" s="379"/>
      <c r="F560" s="379"/>
      <c r="G560" s="380"/>
    </row>
    <row r="561" spans="1:7" s="373" customFormat="1" ht="13.8" x14ac:dyDescent="0.3">
      <c r="A561" s="378"/>
      <c r="B561" s="378"/>
      <c r="C561" s="379"/>
      <c r="D561" s="379"/>
      <c r="E561" s="379"/>
      <c r="F561" s="379"/>
      <c r="G561" s="380"/>
    </row>
    <row r="562" spans="1:7" s="373" customFormat="1" ht="13.8" x14ac:dyDescent="0.3">
      <c r="A562" s="378"/>
      <c r="B562" s="378"/>
      <c r="C562" s="379"/>
      <c r="D562" s="379"/>
      <c r="E562" s="379"/>
      <c r="F562" s="379"/>
      <c r="G562" s="380"/>
    </row>
    <row r="563" spans="1:7" s="373" customFormat="1" ht="13.8" x14ac:dyDescent="0.3">
      <c r="A563" s="378"/>
      <c r="B563" s="378"/>
      <c r="C563" s="379"/>
      <c r="D563" s="379"/>
      <c r="E563" s="379"/>
      <c r="F563" s="379"/>
      <c r="G563" s="380"/>
    </row>
    <row r="564" spans="1:7" s="373" customFormat="1" ht="13.8" x14ac:dyDescent="0.3">
      <c r="A564" s="378"/>
      <c r="B564" s="378"/>
      <c r="C564" s="379"/>
      <c r="D564" s="379"/>
      <c r="E564" s="379"/>
      <c r="F564" s="379"/>
      <c r="G564" s="380"/>
    </row>
    <row r="565" spans="1:7" s="373" customFormat="1" ht="13.8" x14ac:dyDescent="0.3">
      <c r="A565" s="378"/>
      <c r="B565" s="378"/>
      <c r="C565" s="379"/>
      <c r="D565" s="379"/>
      <c r="E565" s="379"/>
      <c r="F565" s="379"/>
      <c r="G565" s="380"/>
    </row>
    <row r="566" spans="1:7" s="373" customFormat="1" ht="13.8" x14ac:dyDescent="0.3">
      <c r="A566" s="378"/>
      <c r="B566" s="378"/>
      <c r="C566" s="379"/>
      <c r="D566" s="379"/>
      <c r="E566" s="379"/>
      <c r="F566" s="379"/>
      <c r="G566" s="380"/>
    </row>
    <row r="567" spans="1:7" s="373" customFormat="1" ht="13.8" x14ac:dyDescent="0.3">
      <c r="A567" s="378"/>
      <c r="B567" s="378"/>
      <c r="C567" s="379"/>
      <c r="D567" s="379"/>
      <c r="E567" s="379"/>
      <c r="F567" s="379"/>
      <c r="G567" s="380"/>
    </row>
    <row r="568" spans="1:7" s="373" customFormat="1" ht="13.8" x14ac:dyDescent="0.3">
      <c r="A568" s="378"/>
      <c r="B568" s="378"/>
      <c r="C568" s="379"/>
      <c r="D568" s="379"/>
      <c r="E568" s="379"/>
      <c r="F568" s="379"/>
      <c r="G568" s="380"/>
    </row>
    <row r="569" spans="1:7" s="373" customFormat="1" ht="13.8" x14ac:dyDescent="0.3">
      <c r="A569" s="378"/>
      <c r="B569" s="378"/>
      <c r="C569" s="379"/>
      <c r="D569" s="379"/>
      <c r="E569" s="379"/>
      <c r="F569" s="379"/>
      <c r="G569" s="380"/>
    </row>
    <row r="570" spans="1:7" s="373" customFormat="1" ht="13.8" x14ac:dyDescent="0.3">
      <c r="A570" s="378"/>
      <c r="B570" s="378"/>
      <c r="C570" s="379"/>
      <c r="D570" s="379"/>
      <c r="E570" s="379"/>
      <c r="F570" s="379"/>
      <c r="G570" s="380"/>
    </row>
    <row r="571" spans="1:7" s="373" customFormat="1" ht="13.8" x14ac:dyDescent="0.3">
      <c r="A571" s="378"/>
      <c r="B571" s="378"/>
      <c r="C571" s="379"/>
      <c r="D571" s="379"/>
      <c r="E571" s="379"/>
      <c r="F571" s="379"/>
      <c r="G571" s="380"/>
    </row>
    <row r="572" spans="1:7" s="373" customFormat="1" ht="13.8" x14ac:dyDescent="0.3">
      <c r="A572" s="378"/>
      <c r="B572" s="378"/>
      <c r="C572" s="379"/>
      <c r="D572" s="379"/>
      <c r="E572" s="379"/>
      <c r="F572" s="379"/>
      <c r="G572" s="380"/>
    </row>
    <row r="573" spans="1:7" s="373" customFormat="1" ht="13.8" x14ac:dyDescent="0.3">
      <c r="A573" s="378"/>
      <c r="B573" s="378"/>
      <c r="C573" s="379"/>
      <c r="D573" s="379"/>
      <c r="E573" s="379"/>
      <c r="F573" s="379"/>
      <c r="G573" s="380"/>
    </row>
    <row r="574" spans="1:7" s="373" customFormat="1" ht="13.8" x14ac:dyDescent="0.3">
      <c r="A574" s="378"/>
      <c r="B574" s="378"/>
      <c r="C574" s="379"/>
      <c r="D574" s="379"/>
      <c r="E574" s="379"/>
      <c r="F574" s="379"/>
      <c r="G574" s="380"/>
    </row>
    <row r="575" spans="1:7" s="373" customFormat="1" ht="13.8" x14ac:dyDescent="0.3">
      <c r="A575" s="378"/>
      <c r="B575" s="378"/>
      <c r="C575" s="379"/>
      <c r="D575" s="379"/>
      <c r="E575" s="379"/>
      <c r="F575" s="379"/>
      <c r="G575" s="380"/>
    </row>
    <row r="576" spans="1:7" s="373" customFormat="1" ht="13.8" x14ac:dyDescent="0.3">
      <c r="A576" s="378"/>
      <c r="B576" s="378"/>
      <c r="C576" s="379"/>
      <c r="D576" s="379"/>
      <c r="E576" s="379"/>
      <c r="F576" s="379"/>
      <c r="G576" s="380"/>
    </row>
    <row r="577" spans="1:7" s="373" customFormat="1" ht="13.8" x14ac:dyDescent="0.3">
      <c r="A577" s="378"/>
      <c r="B577" s="378"/>
      <c r="C577" s="379"/>
      <c r="D577" s="379"/>
      <c r="E577" s="379"/>
      <c r="F577" s="379"/>
      <c r="G577" s="380"/>
    </row>
    <row r="578" spans="1:7" s="373" customFormat="1" ht="13.8" x14ac:dyDescent="0.3">
      <c r="A578" s="378"/>
      <c r="B578" s="378"/>
      <c r="C578" s="379"/>
      <c r="D578" s="379"/>
      <c r="E578" s="379"/>
      <c r="F578" s="379"/>
      <c r="G578" s="380"/>
    </row>
    <row r="579" spans="1:7" s="373" customFormat="1" ht="13.8" x14ac:dyDescent="0.3">
      <c r="A579" s="378"/>
      <c r="B579" s="378"/>
      <c r="C579" s="379"/>
      <c r="D579" s="379"/>
      <c r="E579" s="379"/>
      <c r="F579" s="379"/>
      <c r="G579" s="380"/>
    </row>
    <row r="580" spans="1:7" s="373" customFormat="1" ht="13.8" x14ac:dyDescent="0.3">
      <c r="A580" s="378"/>
      <c r="B580" s="378"/>
      <c r="C580" s="379"/>
      <c r="D580" s="379"/>
      <c r="E580" s="379"/>
      <c r="F580" s="379"/>
      <c r="G580" s="380"/>
    </row>
    <row r="581" spans="1:7" s="373" customFormat="1" ht="13.8" x14ac:dyDescent="0.3">
      <c r="A581" s="378"/>
      <c r="B581" s="378"/>
      <c r="C581" s="379"/>
      <c r="D581" s="379"/>
      <c r="E581" s="379"/>
      <c r="F581" s="379"/>
      <c r="G581" s="380"/>
    </row>
    <row r="582" spans="1:7" s="373" customFormat="1" ht="13.8" x14ac:dyDescent="0.3">
      <c r="A582" s="378"/>
      <c r="B582" s="378"/>
      <c r="C582" s="379"/>
      <c r="D582" s="379"/>
      <c r="E582" s="379"/>
      <c r="F582" s="379"/>
      <c r="G582" s="380"/>
    </row>
    <row r="583" spans="1:7" s="373" customFormat="1" ht="13.8" x14ac:dyDescent="0.3">
      <c r="A583" s="378"/>
      <c r="B583" s="378"/>
      <c r="C583" s="379"/>
      <c r="D583" s="379"/>
      <c r="E583" s="379"/>
      <c r="F583" s="379"/>
      <c r="G583" s="380"/>
    </row>
    <row r="584" spans="1:7" s="373" customFormat="1" ht="13.8" x14ac:dyDescent="0.3">
      <c r="A584" s="378"/>
      <c r="B584" s="378"/>
      <c r="C584" s="379"/>
      <c r="D584" s="379"/>
      <c r="E584" s="379"/>
      <c r="F584" s="379"/>
      <c r="G584" s="380"/>
    </row>
    <row r="585" spans="1:7" s="373" customFormat="1" ht="13.8" x14ac:dyDescent="0.3">
      <c r="A585" s="378"/>
      <c r="B585" s="378"/>
      <c r="C585" s="379"/>
      <c r="D585" s="379"/>
      <c r="E585" s="379"/>
      <c r="F585" s="379"/>
      <c r="G585" s="380"/>
    </row>
    <row r="586" spans="1:7" s="373" customFormat="1" ht="13.8" x14ac:dyDescent="0.3">
      <c r="A586" s="378"/>
      <c r="B586" s="378"/>
      <c r="C586" s="379"/>
      <c r="D586" s="379"/>
      <c r="E586" s="379"/>
      <c r="F586" s="379"/>
      <c r="G586" s="380"/>
    </row>
    <row r="587" spans="1:7" s="373" customFormat="1" ht="13.8" x14ac:dyDescent="0.3">
      <c r="A587" s="378"/>
      <c r="B587" s="378"/>
      <c r="C587" s="379"/>
      <c r="D587" s="379"/>
      <c r="E587" s="379"/>
      <c r="F587" s="379"/>
      <c r="G587" s="380"/>
    </row>
    <row r="588" spans="1:7" s="373" customFormat="1" ht="13.8" x14ac:dyDescent="0.3">
      <c r="A588" s="378"/>
      <c r="B588" s="378"/>
      <c r="C588" s="379"/>
      <c r="D588" s="379"/>
      <c r="E588" s="379"/>
      <c r="F588" s="379"/>
      <c r="G588" s="380"/>
    </row>
    <row r="589" spans="1:7" s="373" customFormat="1" ht="13.8" x14ac:dyDescent="0.3">
      <c r="A589" s="378"/>
      <c r="B589" s="378"/>
      <c r="C589" s="379"/>
      <c r="D589" s="379"/>
      <c r="E589" s="379"/>
      <c r="F589" s="379"/>
      <c r="G589" s="380"/>
    </row>
    <row r="590" spans="1:7" s="373" customFormat="1" ht="13.8" x14ac:dyDescent="0.3">
      <c r="A590" s="378"/>
      <c r="B590" s="378"/>
      <c r="C590" s="379"/>
      <c r="D590" s="379"/>
      <c r="E590" s="379"/>
      <c r="F590" s="379"/>
      <c r="G590" s="380"/>
    </row>
    <row r="591" spans="1:7" s="373" customFormat="1" ht="13.8" x14ac:dyDescent="0.3">
      <c r="A591" s="378"/>
      <c r="B591" s="378"/>
      <c r="C591" s="379"/>
      <c r="D591" s="379"/>
      <c r="E591" s="379"/>
      <c r="F591" s="379"/>
      <c r="G591" s="380"/>
    </row>
    <row r="592" spans="1:7" s="373" customFormat="1" ht="13.8" x14ac:dyDescent="0.3">
      <c r="A592" s="378"/>
      <c r="B592" s="378"/>
      <c r="C592" s="379"/>
      <c r="D592" s="379"/>
      <c r="E592" s="379"/>
      <c r="F592" s="379"/>
      <c r="G592" s="380"/>
    </row>
    <row r="593" spans="1:7" s="373" customFormat="1" ht="13.8" x14ac:dyDescent="0.3">
      <c r="A593" s="378"/>
      <c r="B593" s="378"/>
      <c r="C593" s="379"/>
      <c r="D593" s="379"/>
      <c r="E593" s="379"/>
      <c r="F593" s="379"/>
      <c r="G593" s="380"/>
    </row>
    <row r="594" spans="1:7" s="373" customFormat="1" ht="13.8" x14ac:dyDescent="0.3">
      <c r="A594" s="378"/>
      <c r="B594" s="378"/>
      <c r="C594" s="379"/>
      <c r="D594" s="379"/>
      <c r="E594" s="379"/>
      <c r="F594" s="379"/>
      <c r="G594" s="380"/>
    </row>
    <row r="595" spans="1:7" s="373" customFormat="1" ht="13.8" x14ac:dyDescent="0.3">
      <c r="A595" s="378"/>
      <c r="B595" s="378"/>
      <c r="C595" s="379"/>
      <c r="D595" s="379"/>
      <c r="E595" s="379"/>
      <c r="F595" s="379"/>
      <c r="G595" s="380"/>
    </row>
    <row r="596" spans="1:7" s="373" customFormat="1" ht="13.8" x14ac:dyDescent="0.3">
      <c r="A596" s="378"/>
      <c r="B596" s="378"/>
      <c r="C596" s="379"/>
      <c r="D596" s="379"/>
      <c r="E596" s="379"/>
      <c r="F596" s="379"/>
      <c r="G596" s="380"/>
    </row>
    <row r="597" spans="1:7" s="373" customFormat="1" ht="13.8" x14ac:dyDescent="0.3">
      <c r="A597" s="378"/>
      <c r="B597" s="378"/>
      <c r="C597" s="379"/>
      <c r="D597" s="379"/>
      <c r="E597" s="379"/>
      <c r="F597" s="379"/>
      <c r="G597" s="380"/>
    </row>
    <row r="598" spans="1:7" s="373" customFormat="1" ht="13.8" x14ac:dyDescent="0.3">
      <c r="A598" s="378"/>
      <c r="B598" s="378"/>
      <c r="C598" s="379"/>
      <c r="D598" s="379"/>
      <c r="E598" s="379"/>
      <c r="F598" s="379"/>
      <c r="G598" s="380"/>
    </row>
    <row r="599" spans="1:7" s="373" customFormat="1" ht="13.8" x14ac:dyDescent="0.3">
      <c r="A599" s="378"/>
      <c r="B599" s="378"/>
      <c r="C599" s="379"/>
      <c r="D599" s="379"/>
      <c r="E599" s="379"/>
      <c r="F599" s="379"/>
      <c r="G599" s="380"/>
    </row>
    <row r="600" spans="1:7" s="373" customFormat="1" ht="13.8" x14ac:dyDescent="0.3">
      <c r="A600" s="378"/>
      <c r="B600" s="378"/>
      <c r="C600" s="379"/>
      <c r="D600" s="379"/>
      <c r="E600" s="379"/>
      <c r="F600" s="379"/>
      <c r="G600" s="380"/>
    </row>
    <row r="601" spans="1:7" s="373" customFormat="1" ht="13.8" x14ac:dyDescent="0.3">
      <c r="A601" s="378"/>
      <c r="B601" s="378"/>
      <c r="C601" s="379"/>
      <c r="D601" s="379"/>
      <c r="E601" s="379"/>
      <c r="F601" s="379"/>
      <c r="G601" s="380"/>
    </row>
    <row r="602" spans="1:7" s="373" customFormat="1" ht="13.8" x14ac:dyDescent="0.3">
      <c r="A602" s="378"/>
      <c r="B602" s="378"/>
      <c r="C602" s="379"/>
      <c r="D602" s="379"/>
      <c r="E602" s="379"/>
      <c r="F602" s="379"/>
      <c r="G602" s="380"/>
    </row>
    <row r="603" spans="1:7" s="373" customFormat="1" ht="13.8" x14ac:dyDescent="0.3">
      <c r="A603" s="378"/>
      <c r="B603" s="378"/>
      <c r="C603" s="379"/>
      <c r="D603" s="379"/>
      <c r="E603" s="379"/>
      <c r="F603" s="379"/>
      <c r="G603" s="380"/>
    </row>
    <row r="604" spans="1:7" s="373" customFormat="1" ht="13.8" x14ac:dyDescent="0.3">
      <c r="A604" s="378"/>
      <c r="B604" s="378"/>
      <c r="C604" s="379"/>
      <c r="D604" s="379"/>
      <c r="E604" s="379"/>
      <c r="F604" s="379"/>
      <c r="G604" s="380"/>
    </row>
    <row r="605" spans="1:7" s="373" customFormat="1" ht="13.8" x14ac:dyDescent="0.3">
      <c r="A605" s="378"/>
      <c r="B605" s="378"/>
      <c r="C605" s="379"/>
      <c r="D605" s="379"/>
      <c r="E605" s="379"/>
      <c r="F605" s="379"/>
      <c r="G605" s="380"/>
    </row>
    <row r="606" spans="1:7" s="373" customFormat="1" ht="13.8" x14ac:dyDescent="0.3">
      <c r="A606" s="378"/>
      <c r="B606" s="378"/>
      <c r="C606" s="379"/>
      <c r="D606" s="379"/>
      <c r="E606" s="379"/>
      <c r="F606" s="379"/>
      <c r="G606" s="380"/>
    </row>
    <row r="607" spans="1:7" s="373" customFormat="1" ht="13.8" x14ac:dyDescent="0.3">
      <c r="A607" s="378"/>
      <c r="B607" s="378"/>
      <c r="C607" s="379"/>
      <c r="D607" s="379"/>
      <c r="E607" s="379"/>
      <c r="F607" s="379"/>
      <c r="G607" s="380"/>
    </row>
    <row r="608" spans="1:7" s="373" customFormat="1" ht="13.8" x14ac:dyDescent="0.3">
      <c r="A608" s="378"/>
      <c r="B608" s="378"/>
      <c r="C608" s="379"/>
      <c r="D608" s="379"/>
      <c r="E608" s="379"/>
      <c r="F608" s="379"/>
      <c r="G608" s="380"/>
    </row>
    <row r="609" spans="1:7" s="373" customFormat="1" ht="13.8" x14ac:dyDescent="0.3">
      <c r="A609" s="378"/>
      <c r="B609" s="378"/>
      <c r="C609" s="379"/>
      <c r="D609" s="379"/>
      <c r="E609" s="379"/>
      <c r="F609" s="379"/>
      <c r="G609" s="380"/>
    </row>
    <row r="610" spans="1:7" s="373" customFormat="1" ht="13.8" x14ac:dyDescent="0.3">
      <c r="A610" s="378"/>
      <c r="B610" s="378"/>
      <c r="C610" s="379"/>
      <c r="D610" s="379"/>
      <c r="E610" s="379"/>
      <c r="F610" s="379"/>
      <c r="G610" s="380"/>
    </row>
    <row r="611" spans="1:7" s="373" customFormat="1" ht="13.8" x14ac:dyDescent="0.3">
      <c r="A611" s="378"/>
      <c r="B611" s="378"/>
      <c r="C611" s="379"/>
      <c r="D611" s="379"/>
      <c r="E611" s="379"/>
      <c r="F611" s="379"/>
      <c r="G611" s="380"/>
    </row>
    <row r="612" spans="1:7" s="373" customFormat="1" ht="13.8" x14ac:dyDescent="0.3">
      <c r="A612" s="378"/>
      <c r="B612" s="378"/>
      <c r="C612" s="379"/>
      <c r="D612" s="379"/>
      <c r="E612" s="379"/>
      <c r="F612" s="379"/>
      <c r="G612" s="380"/>
    </row>
    <row r="613" spans="1:7" s="373" customFormat="1" ht="13.8" x14ac:dyDescent="0.3">
      <c r="A613" s="378"/>
      <c r="B613" s="378"/>
      <c r="C613" s="379"/>
      <c r="D613" s="379"/>
      <c r="E613" s="379"/>
      <c r="F613" s="379"/>
      <c r="G613" s="380"/>
    </row>
    <row r="614" spans="1:7" s="373" customFormat="1" ht="13.8" x14ac:dyDescent="0.3">
      <c r="A614" s="378"/>
      <c r="B614" s="378"/>
      <c r="C614" s="379"/>
      <c r="D614" s="379"/>
      <c r="E614" s="379"/>
      <c r="F614" s="379"/>
      <c r="G614" s="380"/>
    </row>
    <row r="615" spans="1:7" s="373" customFormat="1" ht="13.8" x14ac:dyDescent="0.3">
      <c r="A615" s="378"/>
      <c r="B615" s="378"/>
      <c r="C615" s="379"/>
      <c r="D615" s="379"/>
      <c r="E615" s="379"/>
      <c r="F615" s="379"/>
      <c r="G615" s="380"/>
    </row>
    <row r="616" spans="1:7" s="373" customFormat="1" ht="13.8" x14ac:dyDescent="0.3">
      <c r="A616" s="378"/>
      <c r="B616" s="378"/>
      <c r="C616" s="379"/>
      <c r="D616" s="379"/>
      <c r="E616" s="379"/>
      <c r="F616" s="379"/>
      <c r="G616" s="380"/>
    </row>
    <row r="617" spans="1:7" s="373" customFormat="1" ht="13.8" x14ac:dyDescent="0.3">
      <c r="A617" s="378"/>
      <c r="B617" s="378"/>
      <c r="C617" s="379"/>
      <c r="D617" s="379"/>
      <c r="E617" s="379"/>
      <c r="F617" s="379"/>
      <c r="G617" s="380"/>
    </row>
    <row r="618" spans="1:7" s="373" customFormat="1" ht="13.8" x14ac:dyDescent="0.3">
      <c r="A618" s="378"/>
      <c r="B618" s="378"/>
      <c r="C618" s="379"/>
      <c r="D618" s="379"/>
      <c r="E618" s="379"/>
      <c r="F618" s="379"/>
      <c r="G618" s="380"/>
    </row>
    <row r="619" spans="1:7" s="373" customFormat="1" ht="13.8" x14ac:dyDescent="0.3">
      <c r="A619" s="378"/>
      <c r="B619" s="378"/>
      <c r="C619" s="379"/>
      <c r="D619" s="379"/>
      <c r="E619" s="379"/>
      <c r="F619" s="379"/>
      <c r="G619" s="380"/>
    </row>
    <row r="620" spans="1:7" s="373" customFormat="1" ht="13.8" x14ac:dyDescent="0.3">
      <c r="A620" s="378"/>
      <c r="B620" s="378"/>
      <c r="C620" s="379"/>
      <c r="D620" s="379"/>
      <c r="E620" s="379"/>
      <c r="F620" s="379"/>
      <c r="G620" s="380"/>
    </row>
    <row r="621" spans="1:7" s="373" customFormat="1" ht="13.8" x14ac:dyDescent="0.3">
      <c r="A621" s="378"/>
      <c r="B621" s="378"/>
      <c r="C621" s="379"/>
      <c r="D621" s="379"/>
      <c r="E621" s="379"/>
      <c r="F621" s="379"/>
      <c r="G621" s="380"/>
    </row>
    <row r="622" spans="1:7" s="373" customFormat="1" ht="13.8" x14ac:dyDescent="0.3">
      <c r="A622" s="378"/>
      <c r="B622" s="378"/>
      <c r="C622" s="379"/>
      <c r="D622" s="379"/>
      <c r="E622" s="379"/>
      <c r="F622" s="379"/>
      <c r="G622" s="380"/>
    </row>
    <row r="623" spans="1:7" s="373" customFormat="1" ht="13.8" x14ac:dyDescent="0.3">
      <c r="A623" s="378"/>
      <c r="B623" s="378"/>
      <c r="C623" s="379"/>
      <c r="D623" s="379"/>
      <c r="E623" s="379"/>
      <c r="F623" s="379"/>
      <c r="G623" s="380"/>
    </row>
    <row r="624" spans="1:7" s="373" customFormat="1" ht="13.8" x14ac:dyDescent="0.3">
      <c r="A624" s="378"/>
      <c r="B624" s="378"/>
      <c r="C624" s="379"/>
      <c r="D624" s="379"/>
      <c r="E624" s="379"/>
      <c r="F624" s="379"/>
      <c r="G624" s="380"/>
    </row>
    <row r="625" spans="1:7" s="373" customFormat="1" ht="13.8" x14ac:dyDescent="0.3">
      <c r="A625" s="378"/>
      <c r="B625" s="378"/>
      <c r="C625" s="379"/>
      <c r="D625" s="379"/>
      <c r="E625" s="379"/>
      <c r="F625" s="379"/>
      <c r="G625" s="380"/>
    </row>
    <row r="626" spans="1:7" s="373" customFormat="1" ht="13.8" x14ac:dyDescent="0.3">
      <c r="A626" s="378"/>
      <c r="B626" s="378"/>
      <c r="C626" s="379"/>
      <c r="D626" s="379"/>
      <c r="E626" s="379"/>
      <c r="F626" s="379"/>
      <c r="G626" s="380"/>
    </row>
    <row r="627" spans="1:7" s="373" customFormat="1" ht="13.8" x14ac:dyDescent="0.3">
      <c r="A627" s="378"/>
      <c r="B627" s="378"/>
      <c r="C627" s="379"/>
      <c r="D627" s="379"/>
      <c r="E627" s="379"/>
      <c r="F627" s="379"/>
      <c r="G627" s="380"/>
    </row>
    <row r="628" spans="1:7" s="373" customFormat="1" ht="13.8" x14ac:dyDescent="0.3">
      <c r="A628" s="378"/>
      <c r="B628" s="378"/>
      <c r="C628" s="379"/>
      <c r="D628" s="379"/>
      <c r="E628" s="379"/>
      <c r="F628" s="379"/>
      <c r="G628" s="380"/>
    </row>
    <row r="629" spans="1:7" s="373" customFormat="1" ht="13.8" x14ac:dyDescent="0.3">
      <c r="A629" s="378"/>
      <c r="B629" s="378"/>
      <c r="C629" s="379"/>
      <c r="D629" s="379"/>
      <c r="E629" s="379"/>
      <c r="F629" s="379"/>
      <c r="G629" s="380"/>
    </row>
    <row r="630" spans="1:7" s="373" customFormat="1" ht="13.8" x14ac:dyDescent="0.3">
      <c r="A630" s="378"/>
      <c r="B630" s="378"/>
      <c r="C630" s="379"/>
      <c r="D630" s="379"/>
      <c r="E630" s="379"/>
      <c r="F630" s="379"/>
      <c r="G630" s="380"/>
    </row>
    <row r="631" spans="1:7" s="373" customFormat="1" ht="13.8" x14ac:dyDescent="0.3">
      <c r="A631" s="378"/>
      <c r="B631" s="378"/>
      <c r="C631" s="379"/>
      <c r="D631" s="379"/>
      <c r="E631" s="379"/>
      <c r="F631" s="379"/>
      <c r="G631" s="380"/>
    </row>
    <row r="632" spans="1:7" s="373" customFormat="1" ht="13.8" x14ac:dyDescent="0.3">
      <c r="A632" s="378"/>
      <c r="B632" s="378"/>
      <c r="C632" s="379"/>
      <c r="D632" s="379"/>
      <c r="E632" s="379"/>
      <c r="F632" s="379"/>
      <c r="G632" s="380"/>
    </row>
    <row r="633" spans="1:7" s="373" customFormat="1" ht="13.8" x14ac:dyDescent="0.3">
      <c r="A633" s="378"/>
      <c r="B633" s="378"/>
      <c r="C633" s="379"/>
      <c r="D633" s="379"/>
      <c r="E633" s="379"/>
      <c r="F633" s="379"/>
      <c r="G633" s="380"/>
    </row>
    <row r="634" spans="1:7" s="373" customFormat="1" ht="13.8" x14ac:dyDescent="0.3">
      <c r="A634" s="378"/>
      <c r="B634" s="378"/>
      <c r="C634" s="379"/>
      <c r="D634" s="379"/>
      <c r="E634" s="379"/>
      <c r="F634" s="379"/>
      <c r="G634" s="380"/>
    </row>
    <row r="635" spans="1:7" s="373" customFormat="1" ht="13.8" x14ac:dyDescent="0.3">
      <c r="A635" s="378"/>
      <c r="B635" s="378"/>
      <c r="C635" s="379"/>
      <c r="D635" s="379"/>
      <c r="E635" s="379"/>
      <c r="F635" s="379"/>
      <c r="G635" s="380"/>
    </row>
    <row r="636" spans="1:7" s="373" customFormat="1" ht="13.8" x14ac:dyDescent="0.3">
      <c r="A636" s="378"/>
      <c r="B636" s="378"/>
      <c r="C636" s="379"/>
      <c r="D636" s="379"/>
      <c r="E636" s="379"/>
      <c r="F636" s="379"/>
      <c r="G636" s="380"/>
    </row>
    <row r="637" spans="1:7" s="373" customFormat="1" ht="13.8" x14ac:dyDescent="0.3">
      <c r="A637" s="378"/>
      <c r="B637" s="378"/>
      <c r="C637" s="379"/>
      <c r="D637" s="379"/>
      <c r="E637" s="379"/>
      <c r="F637" s="379"/>
      <c r="G637" s="380"/>
    </row>
    <row r="638" spans="1:7" s="373" customFormat="1" ht="13.8" x14ac:dyDescent="0.3">
      <c r="A638" s="378"/>
      <c r="B638" s="378"/>
      <c r="C638" s="379"/>
      <c r="D638" s="379"/>
      <c r="E638" s="379"/>
      <c r="F638" s="379"/>
      <c r="G638" s="380"/>
    </row>
    <row r="639" spans="1:7" s="373" customFormat="1" ht="13.8" x14ac:dyDescent="0.3">
      <c r="A639" s="378"/>
      <c r="B639" s="378"/>
      <c r="C639" s="379"/>
      <c r="D639" s="379"/>
      <c r="E639" s="379"/>
      <c r="F639" s="379"/>
      <c r="G639" s="380"/>
    </row>
    <row r="640" spans="1:7" s="373" customFormat="1" ht="13.8" x14ac:dyDescent="0.3">
      <c r="A640" s="378"/>
      <c r="B640" s="378"/>
      <c r="C640" s="379"/>
      <c r="D640" s="379"/>
      <c r="E640" s="379"/>
      <c r="F640" s="379"/>
      <c r="G640" s="380"/>
    </row>
    <row r="641" spans="1:7" s="373" customFormat="1" ht="13.8" x14ac:dyDescent="0.3">
      <c r="A641" s="378"/>
      <c r="B641" s="378"/>
      <c r="C641" s="379"/>
      <c r="D641" s="379"/>
      <c r="E641" s="379"/>
      <c r="F641" s="379"/>
      <c r="G641" s="380"/>
    </row>
    <row r="642" spans="1:7" s="373" customFormat="1" ht="13.8" x14ac:dyDescent="0.3">
      <c r="A642" s="378"/>
      <c r="B642" s="378"/>
      <c r="C642" s="379"/>
      <c r="D642" s="379"/>
      <c r="E642" s="379"/>
      <c r="F642" s="379"/>
      <c r="G642" s="380"/>
    </row>
    <row r="643" spans="1:7" s="373" customFormat="1" ht="13.8" x14ac:dyDescent="0.3">
      <c r="A643" s="378"/>
      <c r="B643" s="378"/>
      <c r="C643" s="379"/>
      <c r="D643" s="379"/>
      <c r="E643" s="379"/>
      <c r="F643" s="379"/>
      <c r="G643" s="380"/>
    </row>
    <row r="644" spans="1:7" s="373" customFormat="1" ht="13.8" x14ac:dyDescent="0.3">
      <c r="A644" s="378"/>
      <c r="B644" s="378"/>
      <c r="C644" s="379"/>
      <c r="D644" s="379"/>
      <c r="E644" s="379"/>
      <c r="F644" s="379"/>
      <c r="G644" s="380"/>
    </row>
    <row r="645" spans="1:7" s="373" customFormat="1" ht="13.8" x14ac:dyDescent="0.3">
      <c r="A645" s="378"/>
      <c r="B645" s="378"/>
      <c r="C645" s="379"/>
      <c r="D645" s="379"/>
      <c r="E645" s="379"/>
      <c r="F645" s="379"/>
      <c r="G645" s="380"/>
    </row>
    <row r="646" spans="1:7" s="373" customFormat="1" ht="13.8" x14ac:dyDescent="0.3">
      <c r="A646" s="378"/>
      <c r="B646" s="378"/>
      <c r="C646" s="379"/>
      <c r="D646" s="379"/>
      <c r="E646" s="379"/>
      <c r="F646" s="379"/>
      <c r="G646" s="380"/>
    </row>
    <row r="647" spans="1:7" s="373" customFormat="1" ht="13.8" x14ac:dyDescent="0.3">
      <c r="A647" s="378"/>
      <c r="B647" s="378"/>
      <c r="C647" s="379"/>
      <c r="D647" s="379"/>
      <c r="E647" s="379"/>
      <c r="F647" s="379"/>
      <c r="G647" s="380"/>
    </row>
    <row r="648" spans="1:7" s="373" customFormat="1" ht="13.8" x14ac:dyDescent="0.3">
      <c r="A648" s="378"/>
      <c r="B648" s="378"/>
      <c r="C648" s="379"/>
      <c r="D648" s="379"/>
      <c r="E648" s="379"/>
      <c r="F648" s="379"/>
      <c r="G648" s="380"/>
    </row>
    <row r="649" spans="1:7" s="373" customFormat="1" ht="13.8" x14ac:dyDescent="0.3">
      <c r="A649" s="378"/>
      <c r="B649" s="378"/>
      <c r="C649" s="379"/>
      <c r="D649" s="379"/>
      <c r="E649" s="379"/>
      <c r="F649" s="379"/>
      <c r="G649" s="380"/>
    </row>
    <row r="650" spans="1:7" s="373" customFormat="1" ht="13.8" x14ac:dyDescent="0.3">
      <c r="A650" s="378"/>
      <c r="B650" s="378"/>
      <c r="C650" s="379"/>
      <c r="D650" s="379"/>
      <c r="E650" s="379"/>
      <c r="F650" s="379"/>
      <c r="G650" s="380"/>
    </row>
    <row r="651" spans="1:7" s="373" customFormat="1" ht="13.8" x14ac:dyDescent="0.3">
      <c r="A651" s="378"/>
      <c r="B651" s="378"/>
      <c r="C651" s="379"/>
      <c r="D651" s="379"/>
      <c r="E651" s="379"/>
      <c r="F651" s="379"/>
      <c r="G651" s="380"/>
    </row>
    <row r="652" spans="1:7" s="373" customFormat="1" ht="13.8" x14ac:dyDescent="0.3">
      <c r="A652" s="378"/>
      <c r="B652" s="378"/>
      <c r="C652" s="379"/>
      <c r="D652" s="379"/>
      <c r="E652" s="379"/>
      <c r="F652" s="379"/>
      <c r="G652" s="380"/>
    </row>
    <row r="653" spans="1:7" s="373" customFormat="1" ht="13.8" x14ac:dyDescent="0.3">
      <c r="A653" s="378"/>
      <c r="B653" s="378"/>
      <c r="C653" s="379"/>
      <c r="D653" s="379"/>
      <c r="E653" s="379"/>
      <c r="F653" s="379"/>
      <c r="G653" s="380"/>
    </row>
    <row r="654" spans="1:7" s="373" customFormat="1" ht="13.8" x14ac:dyDescent="0.3">
      <c r="A654" s="378"/>
      <c r="B654" s="378"/>
      <c r="C654" s="379"/>
      <c r="D654" s="379"/>
      <c r="E654" s="379"/>
      <c r="F654" s="379"/>
      <c r="G654" s="380"/>
    </row>
    <row r="655" spans="1:7" s="373" customFormat="1" ht="13.8" x14ac:dyDescent="0.3">
      <c r="A655" s="378"/>
      <c r="B655" s="378"/>
      <c r="C655" s="379"/>
      <c r="D655" s="379"/>
      <c r="E655" s="379"/>
      <c r="F655" s="379"/>
      <c r="G655" s="380"/>
    </row>
    <row r="656" spans="1:7" s="373" customFormat="1" ht="13.8" x14ac:dyDescent="0.3">
      <c r="A656" s="378"/>
      <c r="B656" s="378"/>
      <c r="C656" s="379"/>
      <c r="D656" s="379"/>
      <c r="E656" s="379"/>
      <c r="F656" s="379"/>
      <c r="G656" s="380"/>
    </row>
    <row r="657" spans="1:7" s="373" customFormat="1" ht="13.8" x14ac:dyDescent="0.3">
      <c r="A657" s="378"/>
      <c r="B657" s="378"/>
      <c r="C657" s="379"/>
      <c r="D657" s="379"/>
      <c r="E657" s="379"/>
      <c r="F657" s="379"/>
      <c r="G657" s="380"/>
    </row>
    <row r="658" spans="1:7" s="373" customFormat="1" ht="13.8" x14ac:dyDescent="0.3">
      <c r="A658" s="378"/>
      <c r="B658" s="378"/>
      <c r="C658" s="379"/>
      <c r="D658" s="379"/>
      <c r="E658" s="379"/>
      <c r="F658" s="379"/>
      <c r="G658" s="380"/>
    </row>
    <row r="659" spans="1:7" s="373" customFormat="1" ht="13.8" x14ac:dyDescent="0.3">
      <c r="A659" s="378"/>
      <c r="B659" s="378"/>
      <c r="C659" s="379"/>
      <c r="D659" s="379"/>
      <c r="E659" s="379"/>
      <c r="F659" s="379"/>
      <c r="G659" s="380"/>
    </row>
    <row r="660" spans="1:7" s="373" customFormat="1" ht="13.8" x14ac:dyDescent="0.3">
      <c r="A660" s="378"/>
      <c r="B660" s="378"/>
      <c r="C660" s="379"/>
      <c r="D660" s="379"/>
      <c r="E660" s="379"/>
      <c r="F660" s="379"/>
      <c r="G660" s="380"/>
    </row>
    <row r="661" spans="1:7" s="373" customFormat="1" ht="13.8" x14ac:dyDescent="0.3">
      <c r="A661" s="378"/>
      <c r="B661" s="378"/>
      <c r="C661" s="379"/>
      <c r="D661" s="379"/>
      <c r="E661" s="379"/>
      <c r="F661" s="379"/>
      <c r="G661" s="380"/>
    </row>
    <row r="662" spans="1:7" s="373" customFormat="1" ht="13.8" x14ac:dyDescent="0.3">
      <c r="A662" s="378"/>
      <c r="B662" s="378"/>
      <c r="C662" s="379"/>
      <c r="D662" s="379"/>
      <c r="E662" s="379"/>
      <c r="F662" s="379"/>
      <c r="G662" s="380"/>
    </row>
    <row r="663" spans="1:7" s="373" customFormat="1" ht="13.8" x14ac:dyDescent="0.3">
      <c r="A663" s="378"/>
      <c r="B663" s="378"/>
      <c r="C663" s="379"/>
      <c r="D663" s="379"/>
      <c r="E663" s="379"/>
      <c r="F663" s="379"/>
      <c r="G663" s="380"/>
    </row>
    <row r="664" spans="1:7" s="373" customFormat="1" ht="13.8" x14ac:dyDescent="0.3">
      <c r="A664" s="378"/>
      <c r="B664" s="378"/>
      <c r="C664" s="379"/>
      <c r="D664" s="379"/>
      <c r="E664" s="379"/>
      <c r="F664" s="379"/>
      <c r="G664" s="380"/>
    </row>
    <row r="665" spans="1:7" s="373" customFormat="1" ht="13.8" x14ac:dyDescent="0.3">
      <c r="A665" s="378"/>
      <c r="B665" s="378"/>
      <c r="C665" s="379"/>
      <c r="D665" s="379"/>
      <c r="E665" s="379"/>
      <c r="F665" s="379"/>
      <c r="G665" s="380"/>
    </row>
    <row r="666" spans="1:7" s="373" customFormat="1" ht="13.8" x14ac:dyDescent="0.3">
      <c r="A666" s="378"/>
      <c r="B666" s="378"/>
      <c r="C666" s="379"/>
      <c r="D666" s="379"/>
      <c r="E666" s="379"/>
      <c r="F666" s="379"/>
      <c r="G666" s="380"/>
    </row>
    <row r="667" spans="1:7" s="373" customFormat="1" ht="13.8" x14ac:dyDescent="0.3">
      <c r="A667" s="378"/>
      <c r="B667" s="378"/>
      <c r="C667" s="379"/>
      <c r="D667" s="379"/>
      <c r="E667" s="379"/>
      <c r="F667" s="379"/>
      <c r="G667" s="380"/>
    </row>
    <row r="668" spans="1:7" s="373" customFormat="1" ht="13.8" x14ac:dyDescent="0.3">
      <c r="A668" s="378"/>
      <c r="B668" s="378"/>
      <c r="C668" s="379"/>
      <c r="D668" s="379"/>
      <c r="E668" s="379"/>
      <c r="F668" s="379"/>
      <c r="G668" s="380"/>
    </row>
    <row r="669" spans="1:7" s="373" customFormat="1" ht="13.8" x14ac:dyDescent="0.3">
      <c r="A669" s="378"/>
      <c r="B669" s="378"/>
      <c r="C669" s="379"/>
      <c r="D669" s="379"/>
      <c r="E669" s="379"/>
      <c r="F669" s="379"/>
      <c r="G669" s="380"/>
    </row>
    <row r="670" spans="1:7" s="373" customFormat="1" ht="13.8" x14ac:dyDescent="0.3">
      <c r="A670" s="378"/>
      <c r="B670" s="378"/>
      <c r="C670" s="379"/>
      <c r="D670" s="379"/>
      <c r="E670" s="379"/>
      <c r="F670" s="379"/>
      <c r="G670" s="380"/>
    </row>
    <row r="671" spans="1:7" s="373" customFormat="1" ht="13.8" x14ac:dyDescent="0.3">
      <c r="A671" s="378"/>
      <c r="B671" s="378"/>
      <c r="C671" s="379"/>
      <c r="D671" s="379"/>
      <c r="E671" s="379"/>
      <c r="F671" s="379"/>
      <c r="G671" s="380"/>
    </row>
    <row r="672" spans="1:7" s="373" customFormat="1" ht="13.8" x14ac:dyDescent="0.3">
      <c r="A672" s="378"/>
      <c r="B672" s="378"/>
      <c r="C672" s="379"/>
      <c r="D672" s="379"/>
      <c r="E672" s="379"/>
      <c r="F672" s="379"/>
      <c r="G672" s="380"/>
    </row>
    <row r="673" spans="1:7" s="373" customFormat="1" ht="13.8" x14ac:dyDescent="0.3">
      <c r="A673" s="378"/>
      <c r="B673" s="378"/>
      <c r="C673" s="379"/>
      <c r="D673" s="379"/>
      <c r="E673" s="379"/>
      <c r="F673" s="379"/>
      <c r="G673" s="380"/>
    </row>
    <row r="674" spans="1:7" s="373" customFormat="1" ht="13.8" x14ac:dyDescent="0.3">
      <c r="A674" s="378"/>
      <c r="B674" s="378"/>
      <c r="C674" s="379"/>
      <c r="D674" s="379"/>
      <c r="E674" s="379"/>
      <c r="F674" s="379"/>
      <c r="G674" s="380"/>
    </row>
    <row r="675" spans="1:7" s="373" customFormat="1" ht="13.8" x14ac:dyDescent="0.3">
      <c r="A675" s="378"/>
      <c r="B675" s="378"/>
      <c r="C675" s="379"/>
      <c r="D675" s="379"/>
      <c r="E675" s="379"/>
      <c r="F675" s="379"/>
      <c r="G675" s="380"/>
    </row>
    <row r="676" spans="1:7" s="373" customFormat="1" ht="13.8" x14ac:dyDescent="0.3">
      <c r="A676" s="378"/>
      <c r="B676" s="378"/>
      <c r="C676" s="379"/>
      <c r="D676" s="379"/>
      <c r="E676" s="379"/>
      <c r="F676" s="379"/>
      <c r="G676" s="380"/>
    </row>
    <row r="677" spans="1:7" s="373" customFormat="1" ht="13.8" x14ac:dyDescent="0.3">
      <c r="A677" s="378"/>
      <c r="B677" s="378"/>
      <c r="C677" s="379"/>
      <c r="D677" s="379"/>
      <c r="E677" s="379"/>
      <c r="F677" s="379"/>
      <c r="G677" s="380"/>
    </row>
    <row r="678" spans="1:7" s="373" customFormat="1" ht="13.8" x14ac:dyDescent="0.3">
      <c r="A678" s="378"/>
      <c r="B678" s="378"/>
      <c r="C678" s="379"/>
      <c r="D678" s="379"/>
      <c r="E678" s="379"/>
      <c r="F678" s="379"/>
      <c r="G678" s="380"/>
    </row>
    <row r="679" spans="1:7" s="373" customFormat="1" ht="13.8" x14ac:dyDescent="0.3">
      <c r="A679" s="378"/>
      <c r="B679" s="378"/>
      <c r="C679" s="379"/>
      <c r="D679" s="379"/>
      <c r="E679" s="379"/>
      <c r="F679" s="379"/>
      <c r="G679" s="380"/>
    </row>
    <row r="680" spans="1:7" s="373" customFormat="1" ht="13.8" x14ac:dyDescent="0.3">
      <c r="A680" s="378"/>
      <c r="B680" s="378"/>
      <c r="C680" s="379"/>
      <c r="D680" s="379"/>
      <c r="E680" s="379"/>
      <c r="F680" s="379"/>
      <c r="G680" s="380"/>
    </row>
    <row r="681" spans="1:7" s="373" customFormat="1" ht="13.8" x14ac:dyDescent="0.3">
      <c r="A681" s="378"/>
      <c r="B681" s="378"/>
      <c r="C681" s="379"/>
      <c r="D681" s="379"/>
      <c r="E681" s="379"/>
      <c r="F681" s="379"/>
      <c r="G681" s="380"/>
    </row>
    <row r="682" spans="1:7" s="373" customFormat="1" ht="13.8" x14ac:dyDescent="0.3">
      <c r="A682" s="378"/>
      <c r="B682" s="378"/>
      <c r="C682" s="379"/>
      <c r="D682" s="379"/>
      <c r="E682" s="379"/>
      <c r="F682" s="379"/>
      <c r="G682" s="380"/>
    </row>
    <row r="683" spans="1:7" s="373" customFormat="1" ht="13.8" x14ac:dyDescent="0.3">
      <c r="A683" s="378"/>
      <c r="B683" s="378"/>
      <c r="C683" s="379"/>
      <c r="D683" s="379"/>
      <c r="E683" s="379"/>
      <c r="F683" s="379"/>
      <c r="G683" s="380"/>
    </row>
    <row r="684" spans="1:7" s="373" customFormat="1" ht="13.8" x14ac:dyDescent="0.3">
      <c r="A684" s="378"/>
      <c r="B684" s="378"/>
      <c r="C684" s="379"/>
      <c r="D684" s="379"/>
      <c r="E684" s="379"/>
      <c r="F684" s="379"/>
      <c r="G684" s="380"/>
    </row>
    <row r="685" spans="1:7" s="373" customFormat="1" ht="13.8" x14ac:dyDescent="0.3">
      <c r="A685" s="378"/>
      <c r="B685" s="378"/>
      <c r="C685" s="379"/>
      <c r="D685" s="379"/>
      <c r="E685" s="379"/>
      <c r="F685" s="379"/>
      <c r="G685" s="380"/>
    </row>
    <row r="686" spans="1:7" s="373" customFormat="1" ht="13.8" x14ac:dyDescent="0.3">
      <c r="A686" s="378"/>
      <c r="B686" s="378"/>
      <c r="C686" s="379"/>
      <c r="D686" s="379"/>
      <c r="E686" s="379"/>
      <c r="F686" s="379"/>
      <c r="G686" s="380"/>
    </row>
    <row r="687" spans="1:7" s="373" customFormat="1" ht="13.8" x14ac:dyDescent="0.3">
      <c r="A687" s="378"/>
      <c r="B687" s="378"/>
      <c r="C687" s="379"/>
      <c r="D687" s="379"/>
      <c r="E687" s="379"/>
      <c r="F687" s="379"/>
      <c r="G687" s="380"/>
    </row>
    <row r="688" spans="1:7" s="373" customFormat="1" ht="13.8" x14ac:dyDescent="0.3">
      <c r="A688" s="378"/>
      <c r="B688" s="378"/>
      <c r="C688" s="379"/>
      <c r="D688" s="379"/>
      <c r="E688" s="379"/>
      <c r="F688" s="379"/>
      <c r="G688" s="380"/>
    </row>
    <row r="689" spans="1:7" s="373" customFormat="1" ht="13.8" x14ac:dyDescent="0.3">
      <c r="A689" s="378"/>
      <c r="B689" s="378"/>
      <c r="C689" s="379"/>
      <c r="D689" s="379"/>
      <c r="E689" s="379"/>
      <c r="F689" s="379"/>
      <c r="G689" s="380"/>
    </row>
    <row r="690" spans="1:7" s="373" customFormat="1" ht="13.8" x14ac:dyDescent="0.3">
      <c r="A690" s="378"/>
      <c r="B690" s="378"/>
      <c r="C690" s="379"/>
      <c r="D690" s="379"/>
      <c r="E690" s="379"/>
      <c r="F690" s="379"/>
      <c r="G690" s="380"/>
    </row>
    <row r="691" spans="1:7" s="373" customFormat="1" ht="13.8" x14ac:dyDescent="0.3">
      <c r="A691" s="378"/>
      <c r="B691" s="378"/>
      <c r="C691" s="379"/>
      <c r="D691" s="379"/>
      <c r="E691" s="379"/>
      <c r="F691" s="379"/>
      <c r="G691" s="380"/>
    </row>
    <row r="692" spans="1:7" s="373" customFormat="1" ht="13.8" x14ac:dyDescent="0.3">
      <c r="A692" s="378"/>
      <c r="B692" s="378"/>
      <c r="C692" s="379"/>
      <c r="D692" s="379"/>
      <c r="E692" s="379"/>
      <c r="F692" s="379"/>
      <c r="G692" s="380"/>
    </row>
    <row r="693" spans="1:7" s="373" customFormat="1" ht="13.8" x14ac:dyDescent="0.3">
      <c r="A693" s="378"/>
      <c r="B693" s="378"/>
      <c r="C693" s="379"/>
      <c r="D693" s="379"/>
      <c r="E693" s="379"/>
      <c r="F693" s="379"/>
      <c r="G693" s="380"/>
    </row>
    <row r="694" spans="1:7" s="373" customFormat="1" ht="13.8" x14ac:dyDescent="0.3">
      <c r="A694" s="378"/>
      <c r="B694" s="378"/>
      <c r="C694" s="379"/>
      <c r="D694" s="379"/>
      <c r="E694" s="379"/>
      <c r="F694" s="379"/>
      <c r="G694" s="380"/>
    </row>
    <row r="695" spans="1:7" s="373" customFormat="1" ht="13.8" x14ac:dyDescent="0.3">
      <c r="A695" s="378"/>
      <c r="B695" s="378"/>
      <c r="C695" s="379"/>
      <c r="D695" s="379"/>
      <c r="E695" s="379"/>
      <c r="F695" s="379"/>
      <c r="G695" s="380"/>
    </row>
    <row r="696" spans="1:7" s="373" customFormat="1" ht="13.8" x14ac:dyDescent="0.3">
      <c r="A696" s="378"/>
      <c r="B696" s="378"/>
      <c r="C696" s="379"/>
      <c r="D696" s="379"/>
      <c r="E696" s="379"/>
      <c r="F696" s="379"/>
      <c r="G696" s="380"/>
    </row>
    <row r="697" spans="1:7" s="373" customFormat="1" ht="13.8" x14ac:dyDescent="0.3">
      <c r="A697" s="378"/>
      <c r="B697" s="378"/>
      <c r="C697" s="379"/>
      <c r="D697" s="379"/>
      <c r="E697" s="379"/>
      <c r="F697" s="379"/>
      <c r="G697" s="380"/>
    </row>
    <row r="698" spans="1:7" s="373" customFormat="1" ht="13.8" x14ac:dyDescent="0.3">
      <c r="A698" s="378"/>
      <c r="B698" s="378"/>
      <c r="C698" s="379"/>
      <c r="D698" s="379"/>
      <c r="E698" s="379"/>
      <c r="F698" s="379"/>
      <c r="G698" s="380"/>
    </row>
    <row r="699" spans="1:7" s="373" customFormat="1" ht="13.8" x14ac:dyDescent="0.3">
      <c r="A699" s="378"/>
      <c r="B699" s="378"/>
      <c r="C699" s="379"/>
      <c r="D699" s="379"/>
      <c r="E699" s="379"/>
      <c r="F699" s="379"/>
      <c r="G699" s="380"/>
    </row>
    <row r="700" spans="1:7" s="373" customFormat="1" ht="13.8" x14ac:dyDescent="0.3">
      <c r="A700" s="378"/>
      <c r="B700" s="378"/>
      <c r="C700" s="379"/>
      <c r="D700" s="379"/>
      <c r="E700" s="379"/>
      <c r="F700" s="379"/>
      <c r="G700" s="380"/>
    </row>
    <row r="701" spans="1:7" s="373" customFormat="1" ht="13.8" x14ac:dyDescent="0.3">
      <c r="A701" s="378"/>
      <c r="B701" s="378"/>
      <c r="C701" s="379"/>
      <c r="D701" s="379"/>
      <c r="E701" s="379"/>
      <c r="F701" s="379"/>
      <c r="G701" s="380"/>
    </row>
    <row r="702" spans="1:7" s="373" customFormat="1" ht="13.8" x14ac:dyDescent="0.3">
      <c r="A702" s="378"/>
      <c r="B702" s="378"/>
      <c r="C702" s="379"/>
      <c r="D702" s="379"/>
      <c r="E702" s="379"/>
      <c r="F702" s="379"/>
      <c r="G702" s="380"/>
    </row>
    <row r="703" spans="1:7" s="373" customFormat="1" ht="13.8" x14ac:dyDescent="0.3">
      <c r="A703" s="378"/>
      <c r="B703" s="378"/>
      <c r="C703" s="379"/>
      <c r="D703" s="379"/>
      <c r="E703" s="379"/>
      <c r="F703" s="379"/>
      <c r="G703" s="380"/>
    </row>
    <row r="704" spans="1:7" s="373" customFormat="1" ht="13.8" x14ac:dyDescent="0.3">
      <c r="A704" s="378"/>
      <c r="B704" s="378"/>
      <c r="C704" s="379"/>
      <c r="D704" s="379"/>
      <c r="E704" s="379"/>
      <c r="F704" s="379"/>
      <c r="G704" s="380"/>
    </row>
    <row r="705" spans="1:7" s="373" customFormat="1" ht="13.8" x14ac:dyDescent="0.3">
      <c r="A705" s="378"/>
      <c r="B705" s="378"/>
      <c r="C705" s="379"/>
      <c r="D705" s="379"/>
      <c r="E705" s="379"/>
      <c r="F705" s="379"/>
      <c r="G705" s="380"/>
    </row>
    <row r="706" spans="1:7" s="373" customFormat="1" ht="13.8" x14ac:dyDescent="0.3">
      <c r="A706" s="378"/>
      <c r="B706" s="378"/>
      <c r="C706" s="379"/>
      <c r="D706" s="379"/>
      <c r="E706" s="379"/>
      <c r="F706" s="379"/>
      <c r="G706" s="380"/>
    </row>
    <row r="707" spans="1:7" s="373" customFormat="1" ht="13.8" x14ac:dyDescent="0.3">
      <c r="A707" s="378"/>
      <c r="B707" s="378"/>
      <c r="C707" s="379"/>
      <c r="D707" s="379"/>
      <c r="E707" s="379"/>
      <c r="F707" s="379"/>
      <c r="G707" s="380"/>
    </row>
    <row r="708" spans="1:7" s="373" customFormat="1" ht="13.8" x14ac:dyDescent="0.3">
      <c r="A708" s="378"/>
      <c r="B708" s="378"/>
      <c r="C708" s="379"/>
      <c r="D708" s="379"/>
      <c r="E708" s="379"/>
      <c r="F708" s="379"/>
      <c r="G708" s="380"/>
    </row>
    <row r="709" spans="1:7" s="373" customFormat="1" ht="13.8" x14ac:dyDescent="0.3">
      <c r="A709" s="378"/>
      <c r="B709" s="378"/>
      <c r="C709" s="379"/>
      <c r="D709" s="379"/>
      <c r="E709" s="379"/>
      <c r="F709" s="379"/>
      <c r="G709" s="380"/>
    </row>
    <row r="710" spans="1:7" s="373" customFormat="1" ht="13.8" x14ac:dyDescent="0.3">
      <c r="A710" s="378"/>
      <c r="B710" s="378"/>
      <c r="C710" s="379"/>
      <c r="D710" s="379"/>
      <c r="E710" s="379"/>
      <c r="F710" s="379"/>
      <c r="G710" s="380"/>
    </row>
    <row r="711" spans="1:7" s="373" customFormat="1" ht="13.8" x14ac:dyDescent="0.3">
      <c r="A711" s="378"/>
      <c r="B711" s="378"/>
      <c r="C711" s="379"/>
      <c r="D711" s="379"/>
      <c r="E711" s="379"/>
      <c r="F711" s="379"/>
      <c r="G711" s="380"/>
    </row>
    <row r="712" spans="1:7" s="373" customFormat="1" ht="13.8" x14ac:dyDescent="0.3">
      <c r="A712" s="378"/>
      <c r="B712" s="378"/>
      <c r="C712" s="379"/>
      <c r="D712" s="379"/>
      <c r="E712" s="379"/>
      <c r="F712" s="379"/>
      <c r="G712" s="380"/>
    </row>
    <row r="713" spans="1:7" s="373" customFormat="1" ht="13.8" x14ac:dyDescent="0.3">
      <c r="A713" s="378"/>
      <c r="B713" s="378"/>
      <c r="C713" s="379"/>
      <c r="D713" s="379"/>
      <c r="E713" s="379"/>
      <c r="F713" s="379"/>
      <c r="G713" s="380"/>
    </row>
    <row r="714" spans="1:7" s="373" customFormat="1" ht="13.8" x14ac:dyDescent="0.3">
      <c r="A714" s="378"/>
      <c r="B714" s="378"/>
      <c r="C714" s="379"/>
      <c r="D714" s="379"/>
      <c r="E714" s="379"/>
      <c r="F714" s="379"/>
      <c r="G714" s="380"/>
    </row>
    <row r="715" spans="1:7" s="373" customFormat="1" ht="13.8" x14ac:dyDescent="0.3">
      <c r="A715" s="378"/>
      <c r="B715" s="378"/>
      <c r="C715" s="379"/>
      <c r="D715" s="379"/>
      <c r="E715" s="379"/>
      <c r="F715" s="379"/>
      <c r="G715" s="380"/>
    </row>
    <row r="716" spans="1:7" s="373" customFormat="1" ht="13.8" x14ac:dyDescent="0.3">
      <c r="A716" s="378"/>
      <c r="B716" s="378"/>
      <c r="C716" s="379"/>
      <c r="D716" s="379"/>
      <c r="E716" s="379"/>
      <c r="F716" s="379"/>
      <c r="G716" s="380"/>
    </row>
    <row r="717" spans="1:7" s="373" customFormat="1" ht="13.8" x14ac:dyDescent="0.3">
      <c r="A717" s="378"/>
      <c r="B717" s="378"/>
      <c r="C717" s="379"/>
      <c r="D717" s="379"/>
      <c r="E717" s="379"/>
      <c r="F717" s="379"/>
      <c r="G717" s="380"/>
    </row>
    <row r="718" spans="1:7" s="373" customFormat="1" ht="13.8" x14ac:dyDescent="0.3">
      <c r="A718" s="378"/>
      <c r="B718" s="378"/>
      <c r="C718" s="379"/>
      <c r="D718" s="379"/>
      <c r="E718" s="379"/>
      <c r="F718" s="379"/>
      <c r="G718" s="380"/>
    </row>
    <row r="719" spans="1:7" s="373" customFormat="1" ht="13.8" x14ac:dyDescent="0.3">
      <c r="A719" s="378"/>
      <c r="B719" s="378"/>
      <c r="C719" s="379"/>
      <c r="D719" s="379"/>
      <c r="E719" s="379"/>
      <c r="F719" s="379"/>
      <c r="G719" s="380"/>
    </row>
    <row r="720" spans="1:7" s="373" customFormat="1" ht="13.8" x14ac:dyDescent="0.3">
      <c r="A720" s="378"/>
      <c r="B720" s="378"/>
      <c r="C720" s="379"/>
      <c r="D720" s="379"/>
      <c r="E720" s="379"/>
      <c r="F720" s="379"/>
      <c r="G720" s="380"/>
    </row>
    <row r="721" spans="1:7" s="373" customFormat="1" ht="13.8" x14ac:dyDescent="0.3">
      <c r="A721" s="378"/>
      <c r="B721" s="378"/>
      <c r="C721" s="379"/>
      <c r="D721" s="379"/>
      <c r="E721" s="379"/>
      <c r="F721" s="379"/>
      <c r="G721" s="380"/>
    </row>
    <row r="722" spans="1:7" s="373" customFormat="1" ht="13.8" x14ac:dyDescent="0.3">
      <c r="A722" s="378"/>
      <c r="B722" s="378"/>
      <c r="C722" s="379"/>
      <c r="D722" s="379"/>
      <c r="E722" s="379"/>
      <c r="F722" s="379"/>
      <c r="G722" s="380"/>
    </row>
    <row r="723" spans="1:7" s="373" customFormat="1" ht="13.8" x14ac:dyDescent="0.3">
      <c r="A723" s="378"/>
      <c r="B723" s="378"/>
      <c r="C723" s="379"/>
      <c r="D723" s="379"/>
      <c r="E723" s="379"/>
      <c r="F723" s="379"/>
      <c r="G723" s="380"/>
    </row>
    <row r="724" spans="1:7" s="373" customFormat="1" ht="13.8" x14ac:dyDescent="0.3">
      <c r="A724" s="378"/>
      <c r="B724" s="378"/>
      <c r="C724" s="379"/>
      <c r="D724" s="379"/>
      <c r="E724" s="379"/>
      <c r="F724" s="379"/>
      <c r="G724" s="380"/>
    </row>
    <row r="725" spans="1:7" s="373" customFormat="1" ht="13.8" x14ac:dyDescent="0.3">
      <c r="A725" s="378"/>
      <c r="B725" s="378"/>
      <c r="C725" s="379"/>
      <c r="D725" s="379"/>
      <c r="E725" s="379"/>
      <c r="F725" s="379"/>
      <c r="G725" s="380"/>
    </row>
    <row r="726" spans="1:7" s="373" customFormat="1" ht="13.8" x14ac:dyDescent="0.3">
      <c r="A726" s="378"/>
      <c r="B726" s="378"/>
      <c r="C726" s="379"/>
      <c r="D726" s="379"/>
      <c r="E726" s="379"/>
      <c r="F726" s="379"/>
      <c r="G726" s="380"/>
    </row>
    <row r="727" spans="1:7" s="373" customFormat="1" ht="13.8" x14ac:dyDescent="0.3">
      <c r="A727" s="378"/>
      <c r="B727" s="378"/>
      <c r="C727" s="379"/>
      <c r="D727" s="379"/>
      <c r="E727" s="379"/>
      <c r="F727" s="379"/>
      <c r="G727" s="380"/>
    </row>
    <row r="728" spans="1:7" s="373" customFormat="1" ht="13.8" x14ac:dyDescent="0.3">
      <c r="A728" s="378"/>
      <c r="B728" s="378"/>
      <c r="C728" s="379"/>
      <c r="D728" s="379"/>
      <c r="E728" s="379"/>
      <c r="F728" s="379"/>
      <c r="G728" s="380"/>
    </row>
    <row r="729" spans="1:7" s="373" customFormat="1" ht="13.8" x14ac:dyDescent="0.3">
      <c r="A729" s="378"/>
      <c r="B729" s="378"/>
      <c r="C729" s="379"/>
      <c r="D729" s="379"/>
      <c r="E729" s="379"/>
      <c r="F729" s="379"/>
      <c r="G729" s="380"/>
    </row>
    <row r="730" spans="1:7" s="373" customFormat="1" ht="13.8" x14ac:dyDescent="0.3">
      <c r="A730" s="378"/>
      <c r="B730" s="378"/>
      <c r="C730" s="379"/>
      <c r="D730" s="379"/>
      <c r="E730" s="379"/>
      <c r="F730" s="379"/>
      <c r="G730" s="380"/>
    </row>
    <row r="731" spans="1:7" s="373" customFormat="1" ht="13.8" x14ac:dyDescent="0.3">
      <c r="A731" s="378"/>
      <c r="B731" s="378"/>
      <c r="C731" s="379"/>
      <c r="D731" s="379"/>
      <c r="E731" s="379"/>
      <c r="F731" s="379"/>
      <c r="G731" s="380"/>
    </row>
    <row r="732" spans="1:7" s="373" customFormat="1" ht="13.8" x14ac:dyDescent="0.3">
      <c r="A732" s="378"/>
      <c r="B732" s="378"/>
      <c r="C732" s="379"/>
      <c r="D732" s="379"/>
      <c r="E732" s="379"/>
      <c r="F732" s="379"/>
      <c r="G732" s="380"/>
    </row>
    <row r="733" spans="1:7" s="373" customFormat="1" ht="13.8" x14ac:dyDescent="0.3">
      <c r="A733" s="378"/>
      <c r="B733" s="378"/>
      <c r="C733" s="379"/>
      <c r="D733" s="379"/>
      <c r="E733" s="379"/>
      <c r="F733" s="379"/>
      <c r="G733" s="380"/>
    </row>
    <row r="734" spans="1:7" s="373" customFormat="1" ht="13.8" x14ac:dyDescent="0.3">
      <c r="A734" s="378"/>
      <c r="B734" s="378"/>
      <c r="C734" s="379"/>
      <c r="D734" s="379"/>
      <c r="E734" s="379"/>
      <c r="F734" s="379"/>
      <c r="G734" s="380"/>
    </row>
    <row r="735" spans="1:7" s="373" customFormat="1" ht="13.8" x14ac:dyDescent="0.3">
      <c r="A735" s="378"/>
      <c r="B735" s="378"/>
      <c r="C735" s="379"/>
      <c r="D735" s="379"/>
      <c r="E735" s="379"/>
      <c r="F735" s="379"/>
      <c r="G735" s="380"/>
    </row>
    <row r="736" spans="1:7" s="373" customFormat="1" ht="13.8" x14ac:dyDescent="0.3">
      <c r="A736" s="378"/>
      <c r="B736" s="378"/>
      <c r="C736" s="379"/>
      <c r="D736" s="379"/>
      <c r="E736" s="379"/>
      <c r="F736" s="379"/>
      <c r="G736" s="380"/>
    </row>
    <row r="737" spans="1:7" s="373" customFormat="1" ht="13.8" x14ac:dyDescent="0.3">
      <c r="A737" s="378"/>
      <c r="B737" s="378"/>
      <c r="C737" s="379"/>
      <c r="D737" s="379"/>
      <c r="E737" s="379"/>
      <c r="F737" s="379"/>
      <c r="G737" s="380"/>
    </row>
    <row r="738" spans="1:7" s="373" customFormat="1" ht="13.8" x14ac:dyDescent="0.3">
      <c r="A738" s="378"/>
      <c r="B738" s="378"/>
      <c r="C738" s="379"/>
      <c r="D738" s="379"/>
      <c r="E738" s="379"/>
      <c r="F738" s="379"/>
      <c r="G738" s="380"/>
    </row>
    <row r="739" spans="1:7" s="373" customFormat="1" ht="13.8" x14ac:dyDescent="0.3">
      <c r="A739" s="378"/>
      <c r="B739" s="378"/>
      <c r="C739" s="379"/>
      <c r="D739" s="379"/>
      <c r="E739" s="379"/>
      <c r="F739" s="379"/>
      <c r="G739" s="380"/>
    </row>
    <row r="740" spans="1:7" s="373" customFormat="1" ht="13.8" x14ac:dyDescent="0.3">
      <c r="A740" s="378"/>
      <c r="B740" s="378"/>
      <c r="C740" s="379"/>
      <c r="D740" s="379"/>
      <c r="E740" s="379"/>
      <c r="F740" s="379"/>
      <c r="G740" s="380"/>
    </row>
    <row r="741" spans="1:7" s="373" customFormat="1" ht="13.8" x14ac:dyDescent="0.3">
      <c r="A741" s="378"/>
      <c r="B741" s="378"/>
      <c r="C741" s="379"/>
      <c r="D741" s="379"/>
      <c r="E741" s="379"/>
      <c r="F741" s="379"/>
      <c r="G741" s="380"/>
    </row>
    <row r="742" spans="1:7" s="373" customFormat="1" ht="13.8" x14ac:dyDescent="0.3">
      <c r="A742" s="378"/>
      <c r="B742" s="378"/>
      <c r="C742" s="379"/>
      <c r="D742" s="379"/>
      <c r="E742" s="379"/>
      <c r="F742" s="379"/>
      <c r="G742" s="380"/>
    </row>
    <row r="743" spans="1:7" s="373" customFormat="1" ht="13.8" x14ac:dyDescent="0.3">
      <c r="A743" s="378"/>
      <c r="B743" s="378"/>
      <c r="C743" s="379"/>
      <c r="D743" s="379"/>
      <c r="E743" s="379"/>
      <c r="F743" s="379"/>
      <c r="G743" s="380"/>
    </row>
    <row r="744" spans="1:7" s="373" customFormat="1" ht="13.8" x14ac:dyDescent="0.3">
      <c r="A744" s="378"/>
      <c r="B744" s="378"/>
      <c r="C744" s="379"/>
      <c r="D744" s="379"/>
      <c r="E744" s="379"/>
      <c r="F744" s="379"/>
      <c r="G744" s="380"/>
    </row>
    <row r="745" spans="1:7" s="373" customFormat="1" ht="13.8" x14ac:dyDescent="0.3">
      <c r="A745" s="378"/>
      <c r="B745" s="378"/>
      <c r="C745" s="379"/>
      <c r="D745" s="379"/>
      <c r="E745" s="379"/>
      <c r="F745" s="379"/>
      <c r="G745" s="380"/>
    </row>
    <row r="746" spans="1:7" s="373" customFormat="1" ht="13.8" x14ac:dyDescent="0.3">
      <c r="A746" s="378"/>
      <c r="B746" s="378"/>
      <c r="C746" s="379"/>
      <c r="D746" s="379"/>
      <c r="E746" s="379"/>
      <c r="F746" s="379"/>
      <c r="G746" s="380"/>
    </row>
    <row r="747" spans="1:7" s="373" customFormat="1" ht="13.8" x14ac:dyDescent="0.3">
      <c r="A747" s="378"/>
      <c r="B747" s="378"/>
      <c r="C747" s="379"/>
      <c r="D747" s="379"/>
      <c r="E747" s="379"/>
      <c r="F747" s="379"/>
      <c r="G747" s="380"/>
    </row>
    <row r="748" spans="1:7" s="373" customFormat="1" ht="13.8" x14ac:dyDescent="0.3">
      <c r="A748" s="378"/>
      <c r="B748" s="378"/>
      <c r="C748" s="379"/>
      <c r="D748" s="379"/>
      <c r="E748" s="379"/>
      <c r="F748" s="379"/>
      <c r="G748" s="380"/>
    </row>
    <row r="749" spans="1:7" s="373" customFormat="1" ht="13.8" x14ac:dyDescent="0.3">
      <c r="A749" s="378"/>
      <c r="B749" s="378"/>
      <c r="C749" s="379"/>
      <c r="D749" s="379"/>
      <c r="E749" s="379"/>
      <c r="F749" s="379"/>
      <c r="G749" s="380"/>
    </row>
    <row r="750" spans="1:7" s="373" customFormat="1" ht="13.8" x14ac:dyDescent="0.3">
      <c r="A750" s="378"/>
      <c r="B750" s="378"/>
      <c r="C750" s="379"/>
      <c r="D750" s="379"/>
      <c r="E750" s="379"/>
      <c r="F750" s="379"/>
      <c r="G750" s="380"/>
    </row>
    <row r="751" spans="1:7" s="373" customFormat="1" ht="13.8" x14ac:dyDescent="0.3">
      <c r="A751" s="378"/>
      <c r="B751" s="378"/>
      <c r="C751" s="379"/>
      <c r="D751" s="379"/>
      <c r="E751" s="379"/>
      <c r="F751" s="379"/>
      <c r="G751" s="380"/>
    </row>
    <row r="752" spans="1:7" s="373" customFormat="1" ht="13.8" x14ac:dyDescent="0.3">
      <c r="A752" s="378"/>
      <c r="B752" s="378"/>
      <c r="C752" s="379"/>
      <c r="D752" s="379"/>
      <c r="E752" s="379"/>
      <c r="F752" s="379"/>
      <c r="G752" s="380"/>
    </row>
    <row r="753" spans="1:7" s="373" customFormat="1" ht="13.8" x14ac:dyDescent="0.3">
      <c r="A753" s="378"/>
      <c r="B753" s="378"/>
      <c r="C753" s="379"/>
      <c r="D753" s="379"/>
      <c r="E753" s="379"/>
      <c r="F753" s="379"/>
      <c r="G753" s="380"/>
    </row>
    <row r="754" spans="1:7" s="373" customFormat="1" ht="13.8" x14ac:dyDescent="0.3">
      <c r="A754" s="378"/>
      <c r="B754" s="378"/>
      <c r="C754" s="379"/>
      <c r="D754" s="379"/>
      <c r="E754" s="379"/>
      <c r="F754" s="379"/>
      <c r="G754" s="380"/>
    </row>
    <row r="755" spans="1:7" s="373" customFormat="1" ht="13.8" x14ac:dyDescent="0.3">
      <c r="A755" s="378"/>
      <c r="B755" s="378"/>
      <c r="C755" s="379"/>
      <c r="D755" s="379"/>
      <c r="E755" s="379"/>
      <c r="F755" s="379"/>
      <c r="G755" s="380"/>
    </row>
    <row r="756" spans="1:7" s="373" customFormat="1" ht="13.8" x14ac:dyDescent="0.3">
      <c r="A756" s="378"/>
      <c r="B756" s="378"/>
      <c r="C756" s="379"/>
      <c r="D756" s="379"/>
      <c r="E756" s="379"/>
      <c r="F756" s="379"/>
      <c r="G756" s="380"/>
    </row>
    <row r="757" spans="1:7" s="373" customFormat="1" ht="13.8" x14ac:dyDescent="0.3">
      <c r="A757" s="378"/>
      <c r="B757" s="378"/>
      <c r="C757" s="379"/>
      <c r="D757" s="379"/>
      <c r="E757" s="379"/>
      <c r="F757" s="379"/>
      <c r="G757" s="380"/>
    </row>
    <row r="758" spans="1:7" s="373" customFormat="1" ht="13.8" x14ac:dyDescent="0.3">
      <c r="A758" s="378"/>
      <c r="B758" s="378"/>
      <c r="C758" s="379"/>
      <c r="D758" s="379"/>
      <c r="E758" s="379"/>
      <c r="F758" s="379"/>
      <c r="G758" s="380"/>
    </row>
    <row r="759" spans="1:7" s="373" customFormat="1" ht="13.8" x14ac:dyDescent="0.3">
      <c r="A759" s="378"/>
      <c r="B759" s="378"/>
      <c r="C759" s="379"/>
      <c r="D759" s="379"/>
      <c r="E759" s="379"/>
      <c r="F759" s="379"/>
      <c r="G759" s="380"/>
    </row>
    <row r="760" spans="1:7" s="373" customFormat="1" ht="13.8" x14ac:dyDescent="0.3">
      <c r="A760" s="378"/>
      <c r="B760" s="378"/>
      <c r="C760" s="379"/>
      <c r="D760" s="379"/>
      <c r="E760" s="379"/>
      <c r="F760" s="379"/>
      <c r="G760" s="380"/>
    </row>
    <row r="761" spans="1:7" s="373" customFormat="1" ht="13.8" x14ac:dyDescent="0.3">
      <c r="A761" s="378"/>
      <c r="B761" s="378"/>
      <c r="C761" s="379"/>
      <c r="D761" s="379"/>
      <c r="E761" s="379"/>
      <c r="F761" s="379"/>
      <c r="G761" s="380"/>
    </row>
    <row r="762" spans="1:7" s="373" customFormat="1" ht="13.8" x14ac:dyDescent="0.3">
      <c r="A762" s="378"/>
      <c r="B762" s="378"/>
      <c r="C762" s="379"/>
      <c r="D762" s="379"/>
      <c r="E762" s="379"/>
      <c r="F762" s="379"/>
      <c r="G762" s="380"/>
    </row>
    <row r="763" spans="1:7" s="373" customFormat="1" ht="13.8" x14ac:dyDescent="0.3">
      <c r="A763" s="378"/>
      <c r="B763" s="378"/>
      <c r="C763" s="379"/>
      <c r="D763" s="379"/>
      <c r="E763" s="379"/>
      <c r="F763" s="379"/>
      <c r="G763" s="380"/>
    </row>
    <row r="764" spans="1:7" s="373" customFormat="1" ht="13.8" x14ac:dyDescent="0.3">
      <c r="A764" s="378"/>
      <c r="B764" s="378"/>
      <c r="C764" s="379"/>
      <c r="D764" s="379"/>
      <c r="E764" s="379"/>
      <c r="F764" s="379"/>
      <c r="G764" s="380"/>
    </row>
    <row r="765" spans="1:7" s="373" customFormat="1" ht="13.8" x14ac:dyDescent="0.3">
      <c r="A765" s="378"/>
      <c r="B765" s="378"/>
      <c r="C765" s="379"/>
      <c r="D765" s="379"/>
      <c r="E765" s="379"/>
      <c r="F765" s="379"/>
      <c r="G765" s="380"/>
    </row>
    <row r="766" spans="1:7" s="373" customFormat="1" ht="13.8" x14ac:dyDescent="0.3">
      <c r="A766" s="378"/>
      <c r="B766" s="378"/>
      <c r="C766" s="379"/>
      <c r="D766" s="379"/>
      <c r="E766" s="379"/>
      <c r="F766" s="379"/>
      <c r="G766" s="380"/>
    </row>
    <row r="767" spans="1:7" s="373" customFormat="1" ht="13.8" x14ac:dyDescent="0.3">
      <c r="A767" s="378"/>
      <c r="B767" s="378"/>
      <c r="C767" s="379"/>
      <c r="D767" s="379"/>
      <c r="E767" s="379"/>
      <c r="F767" s="379"/>
      <c r="G767" s="380"/>
    </row>
    <row r="768" spans="1:7" s="373" customFormat="1" ht="13.8" x14ac:dyDescent="0.3">
      <c r="A768" s="378"/>
      <c r="B768" s="378"/>
      <c r="C768" s="379"/>
      <c r="D768" s="379"/>
      <c r="E768" s="379"/>
      <c r="F768" s="379"/>
      <c r="G768" s="380"/>
    </row>
    <row r="769" spans="1:7" s="373" customFormat="1" ht="13.8" x14ac:dyDescent="0.3">
      <c r="A769" s="378"/>
      <c r="B769" s="378"/>
      <c r="C769" s="379"/>
      <c r="D769" s="379"/>
      <c r="E769" s="379"/>
      <c r="F769" s="379"/>
      <c r="G769" s="380"/>
    </row>
    <row r="770" spans="1:7" s="373" customFormat="1" ht="13.8" x14ac:dyDescent="0.3">
      <c r="A770" s="378"/>
      <c r="B770" s="378"/>
      <c r="C770" s="379"/>
      <c r="D770" s="379"/>
      <c r="E770" s="379"/>
      <c r="F770" s="379"/>
      <c r="G770" s="380"/>
    </row>
    <row r="771" spans="1:7" s="373" customFormat="1" ht="13.8" x14ac:dyDescent="0.3">
      <c r="A771" s="378"/>
      <c r="B771" s="378"/>
      <c r="C771" s="379"/>
      <c r="D771" s="379"/>
      <c r="E771" s="379"/>
      <c r="F771" s="379"/>
      <c r="G771" s="380"/>
    </row>
    <row r="772" spans="1:7" s="373" customFormat="1" ht="13.8" x14ac:dyDescent="0.3">
      <c r="A772" s="378"/>
      <c r="B772" s="378"/>
      <c r="C772" s="379"/>
      <c r="D772" s="379"/>
      <c r="E772" s="379"/>
      <c r="F772" s="379"/>
      <c r="G772" s="380"/>
    </row>
    <row r="773" spans="1:7" s="373" customFormat="1" ht="13.8" x14ac:dyDescent="0.3">
      <c r="A773" s="378"/>
      <c r="B773" s="378"/>
      <c r="C773" s="379"/>
      <c r="D773" s="379"/>
      <c r="E773" s="379"/>
      <c r="F773" s="379"/>
      <c r="G773" s="380"/>
    </row>
    <row r="774" spans="1:7" s="373" customFormat="1" ht="13.8" x14ac:dyDescent="0.3">
      <c r="A774" s="378"/>
      <c r="B774" s="378"/>
      <c r="C774" s="379"/>
      <c r="D774" s="379"/>
      <c r="E774" s="379"/>
      <c r="F774" s="379"/>
      <c r="G774" s="380"/>
    </row>
    <row r="775" spans="1:7" s="373" customFormat="1" ht="13.8" x14ac:dyDescent="0.3">
      <c r="A775" s="378"/>
      <c r="B775" s="378"/>
      <c r="C775" s="379"/>
      <c r="D775" s="379"/>
      <c r="E775" s="379"/>
      <c r="F775" s="379"/>
      <c r="G775" s="380"/>
    </row>
    <row r="776" spans="1:7" s="373" customFormat="1" ht="13.8" x14ac:dyDescent="0.3">
      <c r="A776" s="378"/>
      <c r="B776" s="378"/>
      <c r="C776" s="379"/>
      <c r="D776" s="379"/>
      <c r="E776" s="379"/>
      <c r="F776" s="379"/>
      <c r="G776" s="380"/>
    </row>
    <row r="777" spans="1:7" s="373" customFormat="1" ht="13.8" x14ac:dyDescent="0.3">
      <c r="A777" s="378"/>
      <c r="B777" s="378"/>
      <c r="C777" s="379"/>
      <c r="D777" s="379"/>
      <c r="E777" s="379"/>
      <c r="F777" s="379"/>
      <c r="G777" s="380"/>
    </row>
    <row r="778" spans="1:7" s="373" customFormat="1" ht="13.8" x14ac:dyDescent="0.3">
      <c r="A778" s="378"/>
      <c r="B778" s="378"/>
      <c r="C778" s="379"/>
      <c r="D778" s="379"/>
      <c r="E778" s="379"/>
      <c r="F778" s="379"/>
      <c r="G778" s="380"/>
    </row>
    <row r="779" spans="1:7" s="373" customFormat="1" ht="13.8" x14ac:dyDescent="0.3">
      <c r="A779" s="378"/>
      <c r="B779" s="378"/>
      <c r="C779" s="379"/>
      <c r="D779" s="379"/>
      <c r="E779" s="379"/>
      <c r="F779" s="379"/>
      <c r="G779" s="380"/>
    </row>
    <row r="780" spans="1:7" s="373" customFormat="1" ht="13.8" x14ac:dyDescent="0.3">
      <c r="A780" s="378"/>
      <c r="B780" s="378"/>
      <c r="C780" s="379"/>
      <c r="D780" s="379"/>
      <c r="E780" s="379"/>
      <c r="F780" s="379"/>
      <c r="G780" s="380"/>
    </row>
    <row r="781" spans="1:7" s="373" customFormat="1" ht="13.8" x14ac:dyDescent="0.3">
      <c r="A781" s="378"/>
      <c r="B781" s="378"/>
      <c r="C781" s="379"/>
      <c r="D781" s="379"/>
      <c r="E781" s="379"/>
      <c r="F781" s="379"/>
      <c r="G781" s="380"/>
    </row>
    <row r="782" spans="1:7" s="373" customFormat="1" ht="13.8" x14ac:dyDescent="0.3">
      <c r="A782" s="378"/>
      <c r="B782" s="378"/>
      <c r="C782" s="379"/>
      <c r="D782" s="379"/>
      <c r="E782" s="379"/>
      <c r="F782" s="379"/>
      <c r="G782" s="380"/>
    </row>
    <row r="783" spans="1:7" s="373" customFormat="1" ht="13.8" x14ac:dyDescent="0.3">
      <c r="A783" s="378"/>
      <c r="B783" s="378"/>
      <c r="C783" s="379"/>
      <c r="D783" s="379"/>
      <c r="E783" s="379"/>
      <c r="F783" s="379"/>
      <c r="G783" s="380"/>
    </row>
    <row r="784" spans="1:7" s="373" customFormat="1" ht="13.8" x14ac:dyDescent="0.3">
      <c r="A784" s="378"/>
      <c r="B784" s="378"/>
      <c r="C784" s="379"/>
      <c r="D784" s="379"/>
      <c r="E784" s="379"/>
      <c r="F784" s="379"/>
      <c r="G784" s="380"/>
    </row>
    <row r="785" spans="1:7" s="373" customFormat="1" ht="13.8" x14ac:dyDescent="0.3">
      <c r="A785" s="378"/>
      <c r="B785" s="378"/>
      <c r="C785" s="379"/>
      <c r="D785" s="379"/>
      <c r="E785" s="379"/>
      <c r="F785" s="379"/>
      <c r="G785" s="380"/>
    </row>
    <row r="786" spans="1:7" s="373" customFormat="1" ht="13.8" x14ac:dyDescent="0.3">
      <c r="A786" s="378"/>
      <c r="B786" s="378"/>
      <c r="C786" s="379"/>
      <c r="D786" s="379"/>
      <c r="E786" s="379"/>
      <c r="F786" s="379"/>
      <c r="G786" s="380"/>
    </row>
    <row r="787" spans="1:7" s="373" customFormat="1" ht="13.8" x14ac:dyDescent="0.3">
      <c r="A787" s="378"/>
      <c r="B787" s="378"/>
      <c r="C787" s="379"/>
      <c r="D787" s="379"/>
      <c r="E787" s="379"/>
      <c r="F787" s="379"/>
      <c r="G787" s="380"/>
    </row>
    <row r="788" spans="1:7" s="373" customFormat="1" ht="13.8" x14ac:dyDescent="0.3">
      <c r="A788" s="378"/>
      <c r="B788" s="378"/>
      <c r="C788" s="379"/>
      <c r="D788" s="379"/>
      <c r="E788" s="379"/>
      <c r="F788" s="379"/>
      <c r="G788" s="380"/>
    </row>
    <row r="789" spans="1:7" s="373" customFormat="1" ht="13.8" x14ac:dyDescent="0.3">
      <c r="A789" s="378"/>
      <c r="B789" s="378"/>
      <c r="C789" s="379"/>
      <c r="D789" s="379"/>
      <c r="E789" s="379"/>
      <c r="F789" s="379"/>
      <c r="G789" s="380"/>
    </row>
    <row r="790" spans="1:7" s="373" customFormat="1" ht="13.8" x14ac:dyDescent="0.3">
      <c r="A790" s="378"/>
      <c r="B790" s="378"/>
      <c r="C790" s="379"/>
      <c r="D790" s="379"/>
      <c r="E790" s="379"/>
      <c r="F790" s="379"/>
      <c r="G790" s="380"/>
    </row>
    <row r="791" spans="1:7" s="373" customFormat="1" ht="13.8" x14ac:dyDescent="0.3">
      <c r="A791" s="378"/>
      <c r="B791" s="378"/>
      <c r="C791" s="379"/>
      <c r="D791" s="379"/>
      <c r="E791" s="379"/>
      <c r="F791" s="379"/>
      <c r="G791" s="380"/>
    </row>
    <row r="792" spans="1:7" s="373" customFormat="1" ht="13.8" x14ac:dyDescent="0.3">
      <c r="A792" s="378"/>
      <c r="B792" s="378"/>
      <c r="C792" s="379"/>
      <c r="D792" s="379"/>
      <c r="E792" s="379"/>
      <c r="F792" s="379"/>
      <c r="G792" s="380"/>
    </row>
    <row r="793" spans="1:7" s="373" customFormat="1" ht="13.8" x14ac:dyDescent="0.3">
      <c r="A793" s="378"/>
      <c r="B793" s="378"/>
      <c r="C793" s="379"/>
      <c r="D793" s="379"/>
      <c r="E793" s="379"/>
      <c r="F793" s="379"/>
      <c r="G793" s="380"/>
    </row>
    <row r="794" spans="1:7" s="373" customFormat="1" ht="13.8" x14ac:dyDescent="0.3">
      <c r="A794" s="378"/>
      <c r="B794" s="378"/>
      <c r="C794" s="379"/>
      <c r="D794" s="379"/>
      <c r="E794" s="379"/>
      <c r="F794" s="379"/>
      <c r="G794" s="380"/>
    </row>
    <row r="795" spans="1:7" s="373" customFormat="1" ht="13.8" x14ac:dyDescent="0.3">
      <c r="A795" s="378"/>
      <c r="B795" s="378"/>
      <c r="C795" s="379"/>
      <c r="D795" s="379"/>
      <c r="E795" s="379"/>
      <c r="F795" s="379"/>
      <c r="G795" s="380"/>
    </row>
    <row r="796" spans="1:7" s="373" customFormat="1" ht="13.8" x14ac:dyDescent="0.3">
      <c r="A796" s="378"/>
      <c r="B796" s="378"/>
      <c r="C796" s="379"/>
      <c r="D796" s="379"/>
      <c r="E796" s="379"/>
      <c r="F796" s="379"/>
      <c r="G796" s="380"/>
    </row>
    <row r="797" spans="1:7" s="373" customFormat="1" ht="13.8" x14ac:dyDescent="0.3">
      <c r="A797" s="378"/>
      <c r="B797" s="378"/>
      <c r="C797" s="379"/>
      <c r="D797" s="379"/>
      <c r="E797" s="379"/>
      <c r="F797" s="379"/>
      <c r="G797" s="380"/>
    </row>
    <row r="798" spans="1:7" s="373" customFormat="1" ht="13.8" x14ac:dyDescent="0.3">
      <c r="A798" s="378"/>
      <c r="B798" s="378"/>
      <c r="C798" s="379"/>
      <c r="D798" s="379"/>
      <c r="E798" s="379"/>
      <c r="F798" s="379"/>
      <c r="G798" s="380"/>
    </row>
    <row r="799" spans="1:7" s="373" customFormat="1" ht="13.8" x14ac:dyDescent="0.3">
      <c r="A799" s="378"/>
      <c r="B799" s="378"/>
      <c r="C799" s="379"/>
      <c r="D799" s="379"/>
      <c r="E799" s="379"/>
      <c r="F799" s="379"/>
      <c r="G799" s="380"/>
    </row>
    <row r="800" spans="1:7" s="373" customFormat="1" ht="13.8" x14ac:dyDescent="0.3">
      <c r="A800" s="378"/>
      <c r="B800" s="378"/>
      <c r="C800" s="379"/>
      <c r="D800" s="379"/>
      <c r="E800" s="379"/>
      <c r="F800" s="379"/>
      <c r="G800" s="380"/>
    </row>
    <row r="801" spans="1:7" s="373" customFormat="1" ht="13.8" x14ac:dyDescent="0.3">
      <c r="A801" s="378"/>
      <c r="B801" s="378"/>
      <c r="C801" s="379"/>
      <c r="D801" s="379"/>
      <c r="E801" s="379"/>
      <c r="F801" s="379"/>
      <c r="G801" s="380"/>
    </row>
    <row r="802" spans="1:7" s="373" customFormat="1" ht="13.8" x14ac:dyDescent="0.3">
      <c r="A802" s="378"/>
      <c r="B802" s="378"/>
      <c r="C802" s="379"/>
      <c r="D802" s="379"/>
      <c r="E802" s="379"/>
      <c r="F802" s="379"/>
      <c r="G802" s="380"/>
    </row>
    <row r="803" spans="1:7" s="373" customFormat="1" ht="13.8" x14ac:dyDescent="0.3">
      <c r="A803" s="378"/>
      <c r="B803" s="378"/>
      <c r="C803" s="379"/>
      <c r="D803" s="379"/>
      <c r="E803" s="379"/>
      <c r="F803" s="379"/>
      <c r="G803" s="380"/>
    </row>
    <row r="804" spans="1:7" s="373" customFormat="1" ht="13.8" x14ac:dyDescent="0.3">
      <c r="A804" s="378"/>
      <c r="B804" s="378"/>
      <c r="C804" s="379"/>
      <c r="D804" s="379"/>
      <c r="E804" s="379"/>
      <c r="F804" s="379"/>
      <c r="G804" s="380"/>
    </row>
    <row r="805" spans="1:7" s="373" customFormat="1" ht="13.8" x14ac:dyDescent="0.3">
      <c r="A805" s="378"/>
      <c r="B805" s="378"/>
      <c r="C805" s="379"/>
      <c r="D805" s="379"/>
      <c r="E805" s="379"/>
      <c r="F805" s="379"/>
      <c r="G805" s="380"/>
    </row>
    <row r="806" spans="1:7" s="373" customFormat="1" ht="13.8" x14ac:dyDescent="0.3">
      <c r="A806" s="378"/>
      <c r="B806" s="378"/>
      <c r="C806" s="379"/>
      <c r="D806" s="379"/>
      <c r="E806" s="379"/>
      <c r="F806" s="379"/>
      <c r="G806" s="380"/>
    </row>
    <row r="807" spans="1:7" s="373" customFormat="1" ht="13.8" x14ac:dyDescent="0.3">
      <c r="A807" s="378"/>
      <c r="B807" s="378"/>
      <c r="C807" s="379"/>
      <c r="D807" s="379"/>
      <c r="E807" s="379"/>
      <c r="F807" s="379"/>
      <c r="G807" s="380"/>
    </row>
    <row r="808" spans="1:7" s="373" customFormat="1" ht="13.8" x14ac:dyDescent="0.3">
      <c r="A808" s="378"/>
      <c r="B808" s="378"/>
      <c r="C808" s="379"/>
      <c r="D808" s="379"/>
      <c r="E808" s="379"/>
      <c r="F808" s="379"/>
      <c r="G808" s="380"/>
    </row>
    <row r="809" spans="1:7" s="373" customFormat="1" ht="13.8" x14ac:dyDescent="0.3">
      <c r="A809" s="378"/>
      <c r="B809" s="378"/>
      <c r="C809" s="379"/>
      <c r="D809" s="379"/>
      <c r="E809" s="379"/>
      <c r="F809" s="379"/>
      <c r="G809" s="380"/>
    </row>
    <row r="810" spans="1:7" s="373" customFormat="1" ht="13.8" x14ac:dyDescent="0.3">
      <c r="A810" s="378"/>
      <c r="B810" s="378"/>
      <c r="C810" s="379"/>
      <c r="D810" s="379"/>
      <c r="E810" s="379"/>
      <c r="F810" s="379"/>
      <c r="G810" s="380"/>
    </row>
    <row r="811" spans="1:7" s="373" customFormat="1" ht="13.8" x14ac:dyDescent="0.3">
      <c r="A811" s="378"/>
      <c r="B811" s="378"/>
      <c r="C811" s="379"/>
      <c r="D811" s="379"/>
      <c r="E811" s="379"/>
      <c r="F811" s="379"/>
      <c r="G811" s="380"/>
    </row>
    <row r="812" spans="1:7" s="373" customFormat="1" ht="13.8" x14ac:dyDescent="0.3">
      <c r="A812" s="378"/>
      <c r="B812" s="378"/>
      <c r="C812" s="379"/>
      <c r="D812" s="379"/>
      <c r="E812" s="379"/>
      <c r="F812" s="379"/>
      <c r="G812" s="380"/>
    </row>
    <row r="813" spans="1:7" s="373" customFormat="1" ht="13.8" x14ac:dyDescent="0.3">
      <c r="A813" s="378"/>
      <c r="B813" s="378"/>
      <c r="C813" s="379"/>
      <c r="D813" s="379"/>
      <c r="E813" s="379"/>
      <c r="F813" s="379"/>
      <c r="G813" s="380"/>
    </row>
    <row r="814" spans="1:7" s="373" customFormat="1" ht="13.8" x14ac:dyDescent="0.3">
      <c r="A814" s="378"/>
      <c r="B814" s="378"/>
      <c r="C814" s="379"/>
      <c r="D814" s="379"/>
      <c r="E814" s="379"/>
      <c r="F814" s="379"/>
      <c r="G814" s="380"/>
    </row>
    <row r="815" spans="1:7" s="373" customFormat="1" ht="13.8" x14ac:dyDescent="0.3">
      <c r="A815" s="378"/>
      <c r="B815" s="378"/>
      <c r="C815" s="379"/>
      <c r="D815" s="379"/>
      <c r="E815" s="379"/>
      <c r="F815" s="379"/>
      <c r="G815" s="380"/>
    </row>
    <row r="816" spans="1:7" s="373" customFormat="1" ht="13.8" x14ac:dyDescent="0.3">
      <c r="A816" s="378"/>
      <c r="B816" s="378"/>
      <c r="C816" s="379"/>
      <c r="D816" s="379"/>
      <c r="E816" s="379"/>
      <c r="F816" s="379"/>
      <c r="G816" s="380"/>
    </row>
    <row r="817" spans="1:7" s="373" customFormat="1" ht="13.8" x14ac:dyDescent="0.3">
      <c r="A817" s="378"/>
      <c r="B817" s="378"/>
      <c r="C817" s="379"/>
      <c r="D817" s="379"/>
      <c r="E817" s="379"/>
      <c r="F817" s="379"/>
      <c r="G817" s="380"/>
    </row>
    <row r="818" spans="1:7" s="373" customFormat="1" ht="13.8" x14ac:dyDescent="0.3">
      <c r="A818" s="378"/>
      <c r="B818" s="378"/>
      <c r="C818" s="379"/>
      <c r="D818" s="379"/>
      <c r="E818" s="379"/>
      <c r="F818" s="379"/>
      <c r="G818" s="380"/>
    </row>
    <row r="819" spans="1:7" s="373" customFormat="1" ht="13.8" x14ac:dyDescent="0.3">
      <c r="A819" s="378"/>
      <c r="B819" s="378"/>
      <c r="C819" s="379"/>
      <c r="D819" s="379"/>
      <c r="E819" s="379"/>
      <c r="F819" s="379"/>
      <c r="G819" s="380"/>
    </row>
    <row r="820" spans="1:7" s="373" customFormat="1" ht="13.8" x14ac:dyDescent="0.3">
      <c r="A820" s="378"/>
      <c r="B820" s="378"/>
      <c r="C820" s="379"/>
      <c r="D820" s="379"/>
      <c r="E820" s="379"/>
      <c r="F820" s="379"/>
      <c r="G820" s="380"/>
    </row>
    <row r="821" spans="1:7" s="373" customFormat="1" ht="13.8" x14ac:dyDescent="0.3">
      <c r="A821" s="378"/>
      <c r="B821" s="378"/>
      <c r="C821" s="379"/>
      <c r="D821" s="379"/>
      <c r="E821" s="379"/>
      <c r="F821" s="379"/>
      <c r="G821" s="380"/>
    </row>
    <row r="822" spans="1:7" s="373" customFormat="1" ht="13.8" x14ac:dyDescent="0.3">
      <c r="A822" s="378"/>
      <c r="B822" s="378"/>
      <c r="C822" s="379"/>
      <c r="D822" s="379"/>
      <c r="E822" s="379"/>
      <c r="F822" s="379"/>
      <c r="G822" s="380"/>
    </row>
    <row r="823" spans="1:7" s="373" customFormat="1" ht="13.8" x14ac:dyDescent="0.3">
      <c r="A823" s="378"/>
      <c r="B823" s="378"/>
      <c r="C823" s="379"/>
      <c r="D823" s="379"/>
      <c r="E823" s="379"/>
      <c r="F823" s="379"/>
      <c r="G823" s="380"/>
    </row>
    <row r="824" spans="1:7" s="373" customFormat="1" ht="13.8" x14ac:dyDescent="0.3">
      <c r="A824" s="378"/>
      <c r="B824" s="378"/>
      <c r="C824" s="379"/>
      <c r="D824" s="379"/>
      <c r="E824" s="379"/>
      <c r="F824" s="379"/>
      <c r="G824" s="380"/>
    </row>
    <row r="825" spans="1:7" s="373" customFormat="1" ht="13.8" x14ac:dyDescent="0.3">
      <c r="A825" s="378"/>
      <c r="B825" s="378"/>
      <c r="C825" s="379"/>
      <c r="D825" s="379"/>
      <c r="E825" s="379"/>
      <c r="F825" s="379"/>
      <c r="G825" s="380"/>
    </row>
    <row r="826" spans="1:7" s="373" customFormat="1" ht="13.8" x14ac:dyDescent="0.3">
      <c r="A826" s="378"/>
      <c r="B826" s="378"/>
      <c r="C826" s="379"/>
      <c r="D826" s="379"/>
      <c r="E826" s="379"/>
      <c r="F826" s="379"/>
      <c r="G826" s="380"/>
    </row>
    <row r="827" spans="1:7" s="373" customFormat="1" ht="13.8" x14ac:dyDescent="0.3">
      <c r="A827" s="378"/>
      <c r="B827" s="378"/>
      <c r="C827" s="379"/>
      <c r="D827" s="379"/>
      <c r="E827" s="379"/>
      <c r="F827" s="379"/>
      <c r="G827" s="380"/>
    </row>
    <row r="828" spans="1:7" s="373" customFormat="1" ht="13.8" x14ac:dyDescent="0.3">
      <c r="A828" s="378"/>
      <c r="B828" s="378"/>
      <c r="C828" s="379"/>
      <c r="D828" s="379"/>
      <c r="E828" s="379"/>
      <c r="F828" s="379"/>
      <c r="G828" s="380"/>
    </row>
    <row r="829" spans="1:7" s="373" customFormat="1" ht="13.8" x14ac:dyDescent="0.3">
      <c r="A829" s="378"/>
      <c r="B829" s="378"/>
      <c r="C829" s="379"/>
      <c r="D829" s="379"/>
      <c r="E829" s="379"/>
      <c r="F829" s="379"/>
      <c r="G829" s="380"/>
    </row>
    <row r="830" spans="1:7" s="373" customFormat="1" ht="13.8" x14ac:dyDescent="0.3">
      <c r="A830" s="378"/>
      <c r="B830" s="378"/>
      <c r="C830" s="379"/>
      <c r="D830" s="379"/>
      <c r="E830" s="379"/>
      <c r="F830" s="379"/>
      <c r="G830" s="380"/>
    </row>
    <row r="831" spans="1:7" s="373" customFormat="1" ht="13.8" x14ac:dyDescent="0.3">
      <c r="A831" s="378"/>
      <c r="B831" s="378"/>
      <c r="C831" s="379"/>
      <c r="D831" s="379"/>
      <c r="E831" s="379"/>
      <c r="F831" s="379"/>
      <c r="G831" s="380"/>
    </row>
    <row r="832" spans="1:7" s="373" customFormat="1" ht="13.8" x14ac:dyDescent="0.3">
      <c r="A832" s="378"/>
      <c r="B832" s="378"/>
      <c r="C832" s="379"/>
      <c r="D832" s="379"/>
      <c r="E832" s="379"/>
      <c r="F832" s="379"/>
      <c r="G832" s="380"/>
    </row>
    <row r="833" spans="1:7" s="373" customFormat="1" ht="13.8" x14ac:dyDescent="0.3">
      <c r="A833" s="378"/>
      <c r="B833" s="378"/>
      <c r="C833" s="379"/>
      <c r="D833" s="379"/>
      <c r="E833" s="379"/>
      <c r="F833" s="379"/>
      <c r="G833" s="380"/>
    </row>
    <row r="834" spans="1:7" s="373" customFormat="1" ht="13.8" x14ac:dyDescent="0.3">
      <c r="A834" s="378"/>
      <c r="B834" s="378"/>
      <c r="C834" s="379"/>
      <c r="D834" s="379"/>
      <c r="E834" s="379"/>
      <c r="F834" s="379"/>
      <c r="G834" s="380"/>
    </row>
    <row r="835" spans="1:7" s="373" customFormat="1" ht="13.8" x14ac:dyDescent="0.3">
      <c r="A835" s="378"/>
      <c r="B835" s="378"/>
      <c r="C835" s="379"/>
      <c r="D835" s="379"/>
      <c r="E835" s="379"/>
      <c r="F835" s="379"/>
      <c r="G835" s="380"/>
    </row>
    <row r="836" spans="1:7" s="373" customFormat="1" ht="13.8" x14ac:dyDescent="0.3">
      <c r="A836" s="378"/>
      <c r="B836" s="378"/>
      <c r="C836" s="379"/>
      <c r="D836" s="379"/>
      <c r="E836" s="379"/>
      <c r="F836" s="379"/>
      <c r="G836" s="380"/>
    </row>
    <row r="837" spans="1:7" s="373" customFormat="1" ht="13.8" x14ac:dyDescent="0.3">
      <c r="A837" s="378"/>
      <c r="B837" s="378"/>
      <c r="C837" s="379"/>
      <c r="D837" s="379"/>
      <c r="E837" s="379"/>
      <c r="F837" s="379"/>
      <c r="G837" s="380"/>
    </row>
    <row r="838" spans="1:7" s="373" customFormat="1" ht="13.8" x14ac:dyDescent="0.3">
      <c r="A838" s="378"/>
      <c r="B838" s="378"/>
      <c r="C838" s="379"/>
      <c r="D838" s="379"/>
      <c r="E838" s="379"/>
      <c r="F838" s="379"/>
      <c r="G838" s="380"/>
    </row>
    <row r="839" spans="1:7" s="373" customFormat="1" ht="13.8" x14ac:dyDescent="0.3">
      <c r="A839" s="378"/>
      <c r="B839" s="378"/>
      <c r="C839" s="379"/>
      <c r="D839" s="379"/>
      <c r="E839" s="379"/>
      <c r="F839" s="379"/>
      <c r="G839" s="380"/>
    </row>
    <row r="840" spans="1:7" s="373" customFormat="1" ht="13.8" x14ac:dyDescent="0.3">
      <c r="A840" s="378"/>
      <c r="B840" s="378"/>
      <c r="C840" s="379"/>
      <c r="D840" s="379"/>
      <c r="E840" s="379"/>
      <c r="F840" s="379"/>
      <c r="G840" s="380"/>
    </row>
    <row r="841" spans="1:7" s="373" customFormat="1" ht="13.8" x14ac:dyDescent="0.3">
      <c r="A841" s="378"/>
      <c r="B841" s="378"/>
      <c r="C841" s="379"/>
      <c r="D841" s="379"/>
      <c r="E841" s="379"/>
      <c r="F841" s="379"/>
      <c r="G841" s="380"/>
    </row>
    <row r="842" spans="1:7" s="373" customFormat="1" ht="13.8" x14ac:dyDescent="0.3">
      <c r="A842" s="378"/>
      <c r="B842" s="378"/>
      <c r="C842" s="379"/>
      <c r="D842" s="379"/>
      <c r="E842" s="379"/>
      <c r="F842" s="379"/>
      <c r="G842" s="380"/>
    </row>
    <row r="843" spans="1:7" s="373" customFormat="1" ht="13.8" x14ac:dyDescent="0.3">
      <c r="A843" s="378"/>
      <c r="B843" s="378"/>
      <c r="C843" s="379"/>
      <c r="D843" s="379"/>
      <c r="E843" s="379"/>
      <c r="F843" s="379"/>
      <c r="G843" s="380"/>
    </row>
    <row r="844" spans="1:7" s="373" customFormat="1" ht="13.8" x14ac:dyDescent="0.3">
      <c r="A844" s="378"/>
      <c r="B844" s="378"/>
      <c r="C844" s="379"/>
      <c r="D844" s="379"/>
      <c r="E844" s="379"/>
      <c r="F844" s="379"/>
      <c r="G844" s="380"/>
    </row>
    <row r="845" spans="1:7" s="373" customFormat="1" ht="13.8" x14ac:dyDescent="0.3">
      <c r="A845" s="378"/>
      <c r="B845" s="378"/>
      <c r="C845" s="379"/>
      <c r="D845" s="379"/>
      <c r="E845" s="379"/>
      <c r="F845" s="379"/>
      <c r="G845" s="380"/>
    </row>
    <row r="846" spans="1:7" s="373" customFormat="1" ht="13.8" x14ac:dyDescent="0.3">
      <c r="A846" s="378"/>
      <c r="B846" s="378"/>
      <c r="C846" s="379"/>
      <c r="D846" s="379"/>
      <c r="E846" s="379"/>
      <c r="F846" s="379"/>
      <c r="G846" s="380"/>
    </row>
    <row r="847" spans="1:7" s="373" customFormat="1" ht="13.8" x14ac:dyDescent="0.3">
      <c r="A847" s="378"/>
      <c r="B847" s="378"/>
      <c r="C847" s="379"/>
      <c r="D847" s="379"/>
      <c r="E847" s="379"/>
      <c r="F847" s="379"/>
      <c r="G847" s="380"/>
    </row>
    <row r="848" spans="1:7" s="373" customFormat="1" ht="13.8" x14ac:dyDescent="0.3">
      <c r="A848" s="378"/>
      <c r="B848" s="378"/>
      <c r="C848" s="379"/>
      <c r="D848" s="379"/>
      <c r="E848" s="379"/>
      <c r="F848" s="379"/>
      <c r="G848" s="380"/>
    </row>
    <row r="849" spans="1:7" s="373" customFormat="1" ht="13.8" x14ac:dyDescent="0.3">
      <c r="A849" s="378"/>
      <c r="B849" s="378"/>
      <c r="C849" s="379"/>
      <c r="D849" s="379"/>
      <c r="E849" s="379"/>
      <c r="F849" s="379"/>
      <c r="G849" s="380"/>
    </row>
    <row r="850" spans="1:7" s="373" customFormat="1" ht="13.8" x14ac:dyDescent="0.3">
      <c r="A850" s="378"/>
      <c r="B850" s="378"/>
      <c r="C850" s="379"/>
      <c r="D850" s="379"/>
      <c r="E850" s="379"/>
      <c r="F850" s="379"/>
      <c r="G850" s="380"/>
    </row>
    <row r="851" spans="1:7" s="373" customFormat="1" ht="13.8" x14ac:dyDescent="0.3">
      <c r="A851" s="378"/>
      <c r="B851" s="378"/>
      <c r="C851" s="379"/>
      <c r="D851" s="379"/>
      <c r="E851" s="379"/>
      <c r="F851" s="379"/>
      <c r="G851" s="380"/>
    </row>
    <row r="852" spans="1:7" s="373" customFormat="1" ht="13.8" x14ac:dyDescent="0.3">
      <c r="A852" s="378"/>
      <c r="B852" s="378"/>
      <c r="C852" s="379"/>
      <c r="D852" s="379"/>
      <c r="E852" s="379"/>
      <c r="F852" s="379"/>
      <c r="G852" s="380"/>
    </row>
    <row r="853" spans="1:7" s="373" customFormat="1" ht="13.8" x14ac:dyDescent="0.3">
      <c r="A853" s="378"/>
      <c r="B853" s="378"/>
      <c r="C853" s="379"/>
      <c r="D853" s="379"/>
      <c r="E853" s="379"/>
      <c r="F853" s="379"/>
      <c r="G853" s="380"/>
    </row>
    <row r="854" spans="1:7" s="373" customFormat="1" ht="13.8" x14ac:dyDescent="0.3">
      <c r="A854" s="378"/>
      <c r="B854" s="378"/>
      <c r="C854" s="379"/>
      <c r="D854" s="379"/>
      <c r="E854" s="379"/>
      <c r="F854" s="379"/>
      <c r="G854" s="380"/>
    </row>
    <row r="855" spans="1:7" s="373" customFormat="1" ht="13.8" x14ac:dyDescent="0.3">
      <c r="A855" s="378"/>
      <c r="B855" s="378"/>
      <c r="C855" s="379"/>
      <c r="D855" s="379"/>
      <c r="E855" s="379"/>
      <c r="F855" s="379"/>
      <c r="G855" s="380"/>
    </row>
    <row r="856" spans="1:7" s="373" customFormat="1" ht="13.8" x14ac:dyDescent="0.3">
      <c r="A856" s="378"/>
      <c r="B856" s="378"/>
      <c r="C856" s="379"/>
      <c r="D856" s="379"/>
      <c r="E856" s="379"/>
      <c r="F856" s="379"/>
      <c r="G856" s="380"/>
    </row>
    <row r="857" spans="1:7" s="373" customFormat="1" ht="13.8" x14ac:dyDescent="0.3">
      <c r="A857" s="378"/>
      <c r="B857" s="378"/>
      <c r="C857" s="379"/>
      <c r="D857" s="379"/>
      <c r="E857" s="379"/>
      <c r="F857" s="379"/>
      <c r="G857" s="380"/>
    </row>
    <row r="858" spans="1:7" s="373" customFormat="1" ht="13.8" x14ac:dyDescent="0.3">
      <c r="A858" s="378"/>
      <c r="B858" s="378"/>
      <c r="C858" s="379"/>
      <c r="D858" s="379"/>
      <c r="E858" s="379"/>
      <c r="F858" s="379"/>
      <c r="G858" s="380"/>
    </row>
    <row r="859" spans="1:7" s="373" customFormat="1" ht="13.8" x14ac:dyDescent="0.3">
      <c r="A859" s="378"/>
      <c r="B859" s="378"/>
      <c r="C859" s="379"/>
      <c r="D859" s="379"/>
      <c r="E859" s="379"/>
      <c r="F859" s="379"/>
      <c r="G859" s="380"/>
    </row>
    <row r="860" spans="1:7" s="373" customFormat="1" ht="13.8" x14ac:dyDescent="0.3">
      <c r="A860" s="378"/>
      <c r="B860" s="378"/>
      <c r="C860" s="379"/>
      <c r="D860" s="379"/>
      <c r="E860" s="379"/>
      <c r="F860" s="379"/>
      <c r="G860" s="380"/>
    </row>
    <row r="861" spans="1:7" s="373" customFormat="1" ht="13.8" x14ac:dyDescent="0.3">
      <c r="A861" s="378"/>
      <c r="B861" s="378"/>
      <c r="C861" s="379"/>
      <c r="D861" s="379"/>
      <c r="E861" s="379"/>
      <c r="F861" s="379"/>
      <c r="G861" s="380"/>
    </row>
    <row r="862" spans="1:7" s="373" customFormat="1" ht="13.8" x14ac:dyDescent="0.3">
      <c r="A862" s="378"/>
      <c r="B862" s="378"/>
      <c r="C862" s="379"/>
      <c r="D862" s="379"/>
      <c r="E862" s="379"/>
      <c r="F862" s="379"/>
      <c r="G862" s="380"/>
    </row>
    <row r="863" spans="1:7" s="373" customFormat="1" ht="13.8" x14ac:dyDescent="0.3">
      <c r="A863" s="378"/>
      <c r="B863" s="378"/>
      <c r="C863" s="379"/>
      <c r="D863" s="379"/>
      <c r="E863" s="379"/>
      <c r="F863" s="379"/>
      <c r="G863" s="380"/>
    </row>
    <row r="864" spans="1:7" s="373" customFormat="1" ht="13.8" x14ac:dyDescent="0.3">
      <c r="A864" s="378"/>
      <c r="B864" s="378"/>
      <c r="C864" s="379"/>
      <c r="D864" s="379"/>
      <c r="E864" s="379"/>
      <c r="F864" s="379"/>
      <c r="G864" s="380"/>
    </row>
    <row r="865" spans="1:7" s="373" customFormat="1" ht="13.8" x14ac:dyDescent="0.3">
      <c r="A865" s="378"/>
      <c r="B865" s="378"/>
      <c r="C865" s="379"/>
      <c r="D865" s="379"/>
      <c r="E865" s="379"/>
      <c r="F865" s="379"/>
      <c r="G865" s="380"/>
    </row>
    <row r="866" spans="1:7" s="373" customFormat="1" ht="13.8" x14ac:dyDescent="0.3">
      <c r="A866" s="378"/>
      <c r="B866" s="378"/>
      <c r="C866" s="379"/>
      <c r="D866" s="379"/>
      <c r="E866" s="379"/>
      <c r="F866" s="379"/>
      <c r="G866" s="380"/>
    </row>
    <row r="867" spans="1:7" s="373" customFormat="1" ht="13.8" x14ac:dyDescent="0.3">
      <c r="A867" s="378"/>
      <c r="B867" s="378"/>
      <c r="C867" s="379"/>
      <c r="D867" s="379"/>
      <c r="E867" s="379"/>
      <c r="F867" s="379"/>
      <c r="G867" s="380"/>
    </row>
    <row r="868" spans="1:7" s="373" customFormat="1" ht="13.8" x14ac:dyDescent="0.3">
      <c r="A868" s="378"/>
      <c r="B868" s="378"/>
      <c r="C868" s="379"/>
      <c r="D868" s="379"/>
      <c r="E868" s="379"/>
      <c r="F868" s="379"/>
      <c r="G868" s="380"/>
    </row>
    <row r="869" spans="1:7" s="373" customFormat="1" ht="13.8" x14ac:dyDescent="0.3">
      <c r="A869" s="378"/>
      <c r="B869" s="378"/>
      <c r="C869" s="379"/>
      <c r="D869" s="379"/>
      <c r="E869" s="379"/>
      <c r="F869" s="379"/>
      <c r="G869" s="380"/>
    </row>
    <row r="870" spans="1:7" s="373" customFormat="1" ht="13.8" x14ac:dyDescent="0.3">
      <c r="A870" s="378"/>
      <c r="B870" s="378"/>
      <c r="C870" s="379"/>
      <c r="D870" s="379"/>
      <c r="E870" s="379"/>
      <c r="F870" s="379"/>
      <c r="G870" s="380"/>
    </row>
    <row r="871" spans="1:7" s="373" customFormat="1" ht="13.8" x14ac:dyDescent="0.3">
      <c r="A871" s="378"/>
      <c r="B871" s="378"/>
      <c r="C871" s="379"/>
      <c r="D871" s="379"/>
      <c r="E871" s="379"/>
      <c r="F871" s="379"/>
      <c r="G871" s="380"/>
    </row>
    <row r="872" spans="1:7" s="373" customFormat="1" ht="13.8" x14ac:dyDescent="0.3">
      <c r="A872" s="378"/>
      <c r="B872" s="378"/>
      <c r="C872" s="379"/>
      <c r="D872" s="379"/>
      <c r="E872" s="379"/>
      <c r="F872" s="379"/>
      <c r="G872" s="380"/>
    </row>
    <row r="873" spans="1:7" s="373" customFormat="1" ht="13.8" x14ac:dyDescent="0.3">
      <c r="A873" s="378"/>
      <c r="B873" s="378"/>
      <c r="C873" s="379"/>
      <c r="D873" s="379"/>
      <c r="E873" s="379"/>
      <c r="F873" s="379"/>
      <c r="G873" s="380"/>
    </row>
    <row r="874" spans="1:7" s="373" customFormat="1" ht="13.8" x14ac:dyDescent="0.3">
      <c r="A874" s="378"/>
      <c r="B874" s="378"/>
      <c r="C874" s="379"/>
      <c r="D874" s="379"/>
      <c r="E874" s="379"/>
      <c r="F874" s="379"/>
      <c r="G874" s="380"/>
    </row>
    <row r="875" spans="1:7" s="373" customFormat="1" ht="13.8" x14ac:dyDescent="0.3">
      <c r="A875" s="378"/>
      <c r="B875" s="378"/>
      <c r="C875" s="379"/>
      <c r="D875" s="379"/>
      <c r="E875" s="379"/>
      <c r="F875" s="379"/>
      <c r="G875" s="380"/>
    </row>
    <row r="876" spans="1:7" s="373" customFormat="1" ht="13.8" x14ac:dyDescent="0.3">
      <c r="A876" s="378"/>
      <c r="B876" s="378"/>
      <c r="C876" s="379"/>
      <c r="D876" s="379"/>
      <c r="E876" s="379"/>
      <c r="F876" s="379"/>
      <c r="G876" s="380"/>
    </row>
    <row r="877" spans="1:7" s="373" customFormat="1" ht="13.8" x14ac:dyDescent="0.3">
      <c r="A877" s="378"/>
      <c r="B877" s="378"/>
      <c r="C877" s="379"/>
      <c r="D877" s="379"/>
      <c r="E877" s="379"/>
      <c r="F877" s="379"/>
      <c r="G877" s="380"/>
    </row>
    <row r="878" spans="1:7" s="373" customFormat="1" ht="13.8" x14ac:dyDescent="0.3">
      <c r="A878" s="378"/>
      <c r="B878" s="378"/>
      <c r="C878" s="379"/>
      <c r="D878" s="379"/>
      <c r="E878" s="379"/>
      <c r="F878" s="379"/>
      <c r="G878" s="380"/>
    </row>
    <row r="879" spans="1:7" s="373" customFormat="1" ht="13.8" x14ac:dyDescent="0.3">
      <c r="A879" s="378"/>
      <c r="B879" s="378"/>
      <c r="C879" s="379"/>
      <c r="D879" s="379"/>
      <c r="E879" s="379"/>
      <c r="F879" s="379"/>
      <c r="G879" s="380"/>
    </row>
    <row r="880" spans="1:7" s="373" customFormat="1" ht="13.8" x14ac:dyDescent="0.3">
      <c r="A880" s="378"/>
      <c r="B880" s="378"/>
      <c r="C880" s="379"/>
      <c r="D880" s="379"/>
      <c r="E880" s="379"/>
      <c r="F880" s="379"/>
      <c r="G880" s="380"/>
    </row>
    <row r="881" spans="1:7" s="373" customFormat="1" ht="13.8" x14ac:dyDescent="0.3">
      <c r="A881" s="378"/>
      <c r="B881" s="378"/>
      <c r="C881" s="379"/>
      <c r="D881" s="379"/>
      <c r="E881" s="379"/>
      <c r="F881" s="379"/>
      <c r="G881" s="380"/>
    </row>
    <row r="882" spans="1:7" s="373" customFormat="1" ht="13.8" x14ac:dyDescent="0.3">
      <c r="A882" s="378"/>
      <c r="B882" s="378"/>
      <c r="C882" s="379"/>
      <c r="D882" s="379"/>
      <c r="E882" s="379"/>
      <c r="F882" s="379"/>
      <c r="G882" s="380"/>
    </row>
    <row r="883" spans="1:7" s="373" customFormat="1" ht="13.8" x14ac:dyDescent="0.3">
      <c r="A883" s="378"/>
      <c r="B883" s="378"/>
      <c r="C883" s="379"/>
      <c r="D883" s="379"/>
      <c r="E883" s="379"/>
      <c r="F883" s="379"/>
      <c r="G883" s="380"/>
    </row>
    <row r="884" spans="1:7" s="373" customFormat="1" ht="13.8" x14ac:dyDescent="0.3">
      <c r="A884" s="378"/>
      <c r="B884" s="378"/>
      <c r="C884" s="379"/>
      <c r="D884" s="379"/>
      <c r="E884" s="379"/>
      <c r="F884" s="379"/>
      <c r="G884" s="380"/>
    </row>
    <row r="885" spans="1:7" s="373" customFormat="1" ht="13.8" x14ac:dyDescent="0.3">
      <c r="A885" s="378"/>
      <c r="B885" s="378"/>
      <c r="C885" s="379"/>
      <c r="D885" s="379"/>
      <c r="E885" s="379"/>
      <c r="F885" s="379"/>
      <c r="G885" s="380"/>
    </row>
    <row r="886" spans="1:7" s="373" customFormat="1" ht="13.8" x14ac:dyDescent="0.3">
      <c r="A886" s="378"/>
      <c r="B886" s="378"/>
      <c r="C886" s="379"/>
      <c r="D886" s="379"/>
      <c r="E886" s="379"/>
      <c r="F886" s="379"/>
      <c r="G886" s="380"/>
    </row>
    <row r="887" spans="1:7" s="373" customFormat="1" ht="13.8" x14ac:dyDescent="0.3">
      <c r="A887" s="378"/>
      <c r="B887" s="378"/>
      <c r="C887" s="379"/>
      <c r="D887" s="379"/>
      <c r="E887" s="379"/>
      <c r="F887" s="379"/>
      <c r="G887" s="380"/>
    </row>
    <row r="888" spans="1:7" s="373" customFormat="1" ht="13.8" x14ac:dyDescent="0.3">
      <c r="A888" s="378"/>
      <c r="B888" s="378"/>
      <c r="C888" s="379"/>
      <c r="D888" s="379"/>
      <c r="E888" s="379"/>
      <c r="F888" s="379"/>
      <c r="G888" s="380"/>
    </row>
    <row r="889" spans="1:7" s="373" customFormat="1" ht="13.8" x14ac:dyDescent="0.3">
      <c r="A889" s="378"/>
      <c r="B889" s="378"/>
      <c r="C889" s="379"/>
      <c r="D889" s="379"/>
      <c r="E889" s="379"/>
      <c r="F889" s="379"/>
      <c r="G889" s="380"/>
    </row>
    <row r="890" spans="1:7" s="373" customFormat="1" ht="13.8" x14ac:dyDescent="0.3">
      <c r="A890" s="378"/>
      <c r="B890" s="378"/>
      <c r="C890" s="379"/>
      <c r="D890" s="379"/>
      <c r="E890" s="379"/>
      <c r="F890" s="379"/>
      <c r="G890" s="380"/>
    </row>
    <row r="891" spans="1:7" s="373" customFormat="1" ht="13.8" x14ac:dyDescent="0.3">
      <c r="A891" s="378"/>
      <c r="B891" s="378"/>
      <c r="C891" s="379"/>
      <c r="D891" s="379"/>
      <c r="E891" s="379"/>
      <c r="F891" s="379"/>
      <c r="G891" s="380"/>
    </row>
    <row r="892" spans="1:7" s="373" customFormat="1" ht="13.8" x14ac:dyDescent="0.3">
      <c r="A892" s="378"/>
      <c r="B892" s="378"/>
      <c r="C892" s="379"/>
      <c r="D892" s="379"/>
      <c r="E892" s="379"/>
      <c r="F892" s="379"/>
      <c r="G892" s="380"/>
    </row>
    <row r="893" spans="1:7" s="373" customFormat="1" ht="13.8" x14ac:dyDescent="0.3">
      <c r="A893" s="378"/>
      <c r="B893" s="378"/>
      <c r="C893" s="379"/>
      <c r="D893" s="379"/>
      <c r="E893" s="379"/>
      <c r="F893" s="379"/>
      <c r="G893" s="380"/>
    </row>
    <row r="894" spans="1:7" s="373" customFormat="1" ht="13.8" x14ac:dyDescent="0.3">
      <c r="A894" s="378"/>
      <c r="B894" s="378"/>
      <c r="C894" s="379"/>
      <c r="D894" s="379"/>
      <c r="E894" s="379"/>
      <c r="F894" s="379"/>
      <c r="G894" s="380"/>
    </row>
    <row r="895" spans="1:7" s="373" customFormat="1" ht="13.8" x14ac:dyDescent="0.3">
      <c r="A895" s="378"/>
      <c r="B895" s="378"/>
      <c r="C895" s="379"/>
      <c r="D895" s="379"/>
      <c r="E895" s="379"/>
      <c r="F895" s="379"/>
      <c r="G895" s="380"/>
    </row>
    <row r="896" spans="1:7" s="373" customFormat="1" ht="13.8" x14ac:dyDescent="0.3">
      <c r="A896" s="378"/>
      <c r="B896" s="378"/>
      <c r="C896" s="379"/>
      <c r="D896" s="379"/>
      <c r="E896" s="379"/>
      <c r="F896" s="379"/>
      <c r="G896" s="380"/>
    </row>
    <row r="897" spans="1:7" s="373" customFormat="1" ht="13.8" x14ac:dyDescent="0.3">
      <c r="A897" s="378"/>
      <c r="B897" s="378"/>
      <c r="C897" s="379"/>
      <c r="D897" s="379"/>
      <c r="E897" s="379"/>
      <c r="F897" s="379"/>
      <c r="G897" s="380"/>
    </row>
    <row r="898" spans="1:7" s="373" customFormat="1" ht="13.8" x14ac:dyDescent="0.3">
      <c r="A898" s="378"/>
      <c r="B898" s="378"/>
      <c r="C898" s="379"/>
      <c r="D898" s="379"/>
      <c r="E898" s="379"/>
      <c r="F898" s="379"/>
      <c r="G898" s="380"/>
    </row>
    <row r="899" spans="1:7" s="373" customFormat="1" ht="13.8" x14ac:dyDescent="0.3">
      <c r="A899" s="378"/>
      <c r="B899" s="378"/>
      <c r="C899" s="379"/>
      <c r="D899" s="379"/>
      <c r="E899" s="379"/>
      <c r="F899" s="379"/>
      <c r="G899" s="380"/>
    </row>
    <row r="900" spans="1:7" s="373" customFormat="1" ht="13.8" x14ac:dyDescent="0.3">
      <c r="A900" s="378"/>
      <c r="B900" s="378"/>
      <c r="C900" s="379"/>
      <c r="D900" s="379"/>
      <c r="E900" s="379"/>
      <c r="F900" s="379"/>
      <c r="G900" s="380"/>
    </row>
    <row r="901" spans="1:7" s="373" customFormat="1" ht="13.8" x14ac:dyDescent="0.3">
      <c r="A901" s="378"/>
      <c r="B901" s="378"/>
      <c r="C901" s="379"/>
      <c r="D901" s="379"/>
      <c r="E901" s="379"/>
      <c r="F901" s="379"/>
      <c r="G901" s="380"/>
    </row>
    <row r="902" spans="1:7" s="373" customFormat="1" ht="13.8" x14ac:dyDescent="0.3">
      <c r="A902" s="378"/>
      <c r="B902" s="378"/>
      <c r="C902" s="379"/>
      <c r="D902" s="379"/>
      <c r="E902" s="379"/>
      <c r="F902" s="379"/>
      <c r="G902" s="380"/>
    </row>
    <row r="903" spans="1:7" s="373" customFormat="1" ht="13.8" x14ac:dyDescent="0.3">
      <c r="A903" s="378"/>
      <c r="B903" s="378"/>
      <c r="C903" s="379"/>
      <c r="D903" s="379"/>
      <c r="E903" s="379"/>
      <c r="F903" s="379"/>
      <c r="G903" s="380"/>
    </row>
    <row r="904" spans="1:7" s="373" customFormat="1" ht="13.8" x14ac:dyDescent="0.3">
      <c r="A904" s="378"/>
      <c r="B904" s="378"/>
      <c r="C904" s="379"/>
      <c r="D904" s="379"/>
      <c r="E904" s="379"/>
      <c r="F904" s="379"/>
      <c r="G904" s="380"/>
    </row>
    <row r="905" spans="1:7" s="373" customFormat="1" ht="13.8" x14ac:dyDescent="0.3">
      <c r="A905" s="378"/>
      <c r="B905" s="378"/>
      <c r="C905" s="379"/>
      <c r="D905" s="379"/>
      <c r="E905" s="379"/>
      <c r="F905" s="379"/>
      <c r="G905" s="380"/>
    </row>
    <row r="906" spans="1:7" s="373" customFormat="1" ht="13.8" x14ac:dyDescent="0.3">
      <c r="A906" s="378"/>
      <c r="B906" s="378"/>
      <c r="C906" s="379"/>
      <c r="D906" s="379"/>
      <c r="E906" s="379"/>
      <c r="F906" s="379"/>
      <c r="G906" s="380"/>
    </row>
    <row r="907" spans="1:7" s="373" customFormat="1" ht="13.8" x14ac:dyDescent="0.3">
      <c r="A907" s="378"/>
      <c r="B907" s="378"/>
      <c r="C907" s="379"/>
      <c r="D907" s="379"/>
      <c r="E907" s="379"/>
      <c r="F907" s="379"/>
      <c r="G907" s="380"/>
    </row>
    <row r="908" spans="1:7" s="373" customFormat="1" ht="13.8" x14ac:dyDescent="0.3">
      <c r="A908" s="378"/>
      <c r="B908" s="378"/>
      <c r="C908" s="379"/>
      <c r="D908" s="379"/>
      <c r="E908" s="379"/>
      <c r="F908" s="379"/>
      <c r="G908" s="380"/>
    </row>
    <row r="909" spans="1:7" s="373" customFormat="1" ht="13.8" x14ac:dyDescent="0.3">
      <c r="A909" s="378"/>
      <c r="B909" s="378"/>
      <c r="C909" s="379"/>
      <c r="D909" s="379"/>
      <c r="E909" s="379"/>
      <c r="F909" s="379"/>
      <c r="G909" s="380"/>
    </row>
    <row r="910" spans="1:7" s="373" customFormat="1" ht="13.8" x14ac:dyDescent="0.3">
      <c r="A910" s="378"/>
      <c r="B910" s="378"/>
      <c r="C910" s="379"/>
      <c r="D910" s="379"/>
      <c r="E910" s="379"/>
      <c r="F910" s="379"/>
      <c r="G910" s="380"/>
    </row>
    <row r="911" spans="1:7" s="373" customFormat="1" ht="13.8" x14ac:dyDescent="0.3">
      <c r="A911" s="378"/>
      <c r="B911" s="378"/>
      <c r="C911" s="379"/>
      <c r="D911" s="379"/>
      <c r="E911" s="379"/>
      <c r="F911" s="379"/>
      <c r="G911" s="380"/>
    </row>
    <row r="912" spans="1:7" s="373" customFormat="1" ht="13.8" x14ac:dyDescent="0.3">
      <c r="A912" s="378"/>
      <c r="B912" s="378"/>
      <c r="C912" s="379"/>
      <c r="D912" s="379"/>
      <c r="E912" s="379"/>
      <c r="F912" s="379"/>
      <c r="G912" s="380"/>
    </row>
    <row r="913" spans="1:7" s="373" customFormat="1" ht="13.8" x14ac:dyDescent="0.3">
      <c r="A913" s="378"/>
      <c r="B913" s="378"/>
      <c r="C913" s="379"/>
      <c r="D913" s="379"/>
      <c r="E913" s="379"/>
      <c r="F913" s="379"/>
      <c r="G913" s="380"/>
    </row>
    <row r="914" spans="1:7" s="373" customFormat="1" ht="13.8" x14ac:dyDescent="0.3">
      <c r="A914" s="378"/>
      <c r="B914" s="378"/>
      <c r="C914" s="379"/>
      <c r="D914" s="379"/>
      <c r="E914" s="379"/>
      <c r="F914" s="379"/>
      <c r="G914" s="380"/>
    </row>
    <row r="915" spans="1:7" s="373" customFormat="1" ht="13.8" x14ac:dyDescent="0.3">
      <c r="A915" s="378"/>
      <c r="B915" s="378"/>
      <c r="C915" s="379"/>
      <c r="D915" s="379"/>
      <c r="E915" s="379"/>
      <c r="F915" s="379"/>
      <c r="G915" s="380"/>
    </row>
    <row r="916" spans="1:7" s="373" customFormat="1" ht="13.8" x14ac:dyDescent="0.3">
      <c r="A916" s="378"/>
      <c r="B916" s="378"/>
      <c r="C916" s="379"/>
      <c r="D916" s="379"/>
      <c r="E916" s="379"/>
      <c r="F916" s="379"/>
      <c r="G916" s="380"/>
    </row>
    <row r="917" spans="1:7" s="373" customFormat="1" ht="13.8" x14ac:dyDescent="0.3">
      <c r="A917" s="378"/>
      <c r="B917" s="378"/>
      <c r="C917" s="379"/>
      <c r="D917" s="379"/>
      <c r="E917" s="379"/>
      <c r="F917" s="379"/>
      <c r="G917" s="380"/>
    </row>
    <row r="918" spans="1:7" s="373" customFormat="1" ht="13.8" x14ac:dyDescent="0.3">
      <c r="A918" s="378"/>
      <c r="B918" s="378"/>
      <c r="C918" s="379"/>
      <c r="D918" s="379"/>
      <c r="E918" s="379"/>
      <c r="F918" s="379"/>
      <c r="G918" s="380"/>
    </row>
    <row r="919" spans="1:7" s="373" customFormat="1" ht="13.8" x14ac:dyDescent="0.3">
      <c r="A919" s="378"/>
      <c r="B919" s="378"/>
      <c r="C919" s="379"/>
      <c r="D919" s="379"/>
      <c r="E919" s="379"/>
      <c r="F919" s="379"/>
      <c r="G919" s="380"/>
    </row>
    <row r="920" spans="1:7" s="373" customFormat="1" ht="13.8" x14ac:dyDescent="0.3">
      <c r="A920" s="378"/>
      <c r="B920" s="378"/>
      <c r="C920" s="379"/>
      <c r="D920" s="379"/>
      <c r="E920" s="379"/>
      <c r="F920" s="379"/>
      <c r="G920" s="380"/>
    </row>
    <row r="921" spans="1:7" s="373" customFormat="1" ht="13.8" x14ac:dyDescent="0.3">
      <c r="A921" s="378"/>
      <c r="B921" s="378"/>
      <c r="C921" s="379"/>
      <c r="D921" s="379"/>
      <c r="E921" s="379"/>
      <c r="F921" s="379"/>
      <c r="G921" s="380"/>
    </row>
    <row r="922" spans="1:7" s="373" customFormat="1" ht="13.8" x14ac:dyDescent="0.3">
      <c r="A922" s="378"/>
      <c r="B922" s="378"/>
      <c r="C922" s="379"/>
      <c r="D922" s="379"/>
      <c r="E922" s="379"/>
      <c r="F922" s="379"/>
      <c r="G922" s="380"/>
    </row>
    <row r="923" spans="1:7" s="373" customFormat="1" ht="13.8" x14ac:dyDescent="0.3">
      <c r="A923" s="378"/>
      <c r="B923" s="378"/>
      <c r="C923" s="379"/>
      <c r="D923" s="379"/>
      <c r="E923" s="379"/>
      <c r="F923" s="379"/>
      <c r="G923" s="380"/>
    </row>
    <row r="924" spans="1:7" s="373" customFormat="1" ht="13.8" x14ac:dyDescent="0.3">
      <c r="A924" s="378"/>
      <c r="B924" s="378"/>
      <c r="C924" s="379"/>
      <c r="D924" s="379"/>
      <c r="E924" s="379"/>
      <c r="F924" s="379"/>
      <c r="G924" s="380"/>
    </row>
    <row r="925" spans="1:7" s="373" customFormat="1" ht="13.8" x14ac:dyDescent="0.3">
      <c r="A925" s="378"/>
      <c r="B925" s="378"/>
      <c r="C925" s="379"/>
      <c r="D925" s="379"/>
      <c r="E925" s="379"/>
      <c r="F925" s="379"/>
      <c r="G925" s="380"/>
    </row>
    <row r="926" spans="1:7" s="373" customFormat="1" ht="13.8" x14ac:dyDescent="0.3">
      <c r="A926" s="378"/>
      <c r="B926" s="378"/>
      <c r="C926" s="379"/>
      <c r="D926" s="379"/>
      <c r="E926" s="379"/>
      <c r="F926" s="379"/>
      <c r="G926" s="380"/>
    </row>
    <row r="927" spans="1:7" s="373" customFormat="1" ht="13.8" x14ac:dyDescent="0.3">
      <c r="A927" s="378"/>
      <c r="B927" s="378"/>
      <c r="C927" s="379"/>
      <c r="D927" s="379"/>
      <c r="E927" s="379"/>
      <c r="F927" s="379"/>
      <c r="G927" s="380"/>
    </row>
    <row r="928" spans="1:7" s="373" customFormat="1" ht="13.8" x14ac:dyDescent="0.3">
      <c r="A928" s="378"/>
      <c r="B928" s="378"/>
      <c r="C928" s="379"/>
      <c r="D928" s="379"/>
      <c r="E928" s="379"/>
      <c r="F928" s="379"/>
      <c r="G928" s="380"/>
    </row>
    <row r="929" spans="1:7" s="373" customFormat="1" ht="13.8" x14ac:dyDescent="0.3">
      <c r="A929" s="378"/>
      <c r="B929" s="378"/>
      <c r="C929" s="379"/>
      <c r="D929" s="379"/>
      <c r="E929" s="379"/>
      <c r="F929" s="379"/>
      <c r="G929" s="380"/>
    </row>
    <row r="930" spans="1:7" s="373" customFormat="1" ht="13.8" x14ac:dyDescent="0.3">
      <c r="A930" s="378"/>
      <c r="B930" s="378"/>
      <c r="C930" s="379"/>
      <c r="D930" s="379"/>
      <c r="E930" s="379"/>
      <c r="F930" s="379"/>
      <c r="G930" s="380"/>
    </row>
    <row r="931" spans="1:7" s="373" customFormat="1" ht="13.8" x14ac:dyDescent="0.3">
      <c r="A931" s="378"/>
      <c r="B931" s="378"/>
      <c r="C931" s="379"/>
      <c r="D931" s="379"/>
      <c r="E931" s="379"/>
      <c r="F931" s="379"/>
      <c r="G931" s="380"/>
    </row>
    <row r="932" spans="1:7" s="373" customFormat="1" ht="13.8" x14ac:dyDescent="0.3">
      <c r="A932" s="378"/>
      <c r="B932" s="378"/>
      <c r="C932" s="379"/>
      <c r="D932" s="379"/>
      <c r="E932" s="379"/>
      <c r="F932" s="379"/>
      <c r="G932" s="380"/>
    </row>
    <row r="933" spans="1:7" s="373" customFormat="1" ht="13.8" x14ac:dyDescent="0.3">
      <c r="A933" s="378"/>
      <c r="B933" s="378"/>
      <c r="C933" s="379"/>
      <c r="D933" s="379"/>
      <c r="E933" s="379"/>
      <c r="F933" s="379"/>
      <c r="G933" s="380"/>
    </row>
    <row r="934" spans="1:7" s="373" customFormat="1" ht="13.8" x14ac:dyDescent="0.3">
      <c r="A934" s="378"/>
      <c r="B934" s="378"/>
      <c r="C934" s="379"/>
      <c r="D934" s="379"/>
      <c r="E934" s="379"/>
      <c r="F934" s="379"/>
      <c r="G934" s="380"/>
    </row>
    <row r="935" spans="1:7" s="373" customFormat="1" ht="13.8" x14ac:dyDescent="0.3">
      <c r="A935" s="378"/>
      <c r="B935" s="378"/>
      <c r="C935" s="379"/>
      <c r="D935" s="379"/>
      <c r="E935" s="379"/>
      <c r="F935" s="379"/>
      <c r="G935" s="380"/>
    </row>
    <row r="936" spans="1:7" s="373" customFormat="1" ht="13.8" x14ac:dyDescent="0.3">
      <c r="A936" s="378"/>
      <c r="B936" s="378"/>
      <c r="C936" s="379"/>
      <c r="D936" s="379"/>
      <c r="E936" s="379"/>
      <c r="F936" s="379"/>
      <c r="G936" s="380"/>
    </row>
    <row r="937" spans="1:7" s="373" customFormat="1" ht="13.8" x14ac:dyDescent="0.3">
      <c r="A937" s="378"/>
      <c r="B937" s="378"/>
      <c r="C937" s="379"/>
      <c r="D937" s="379"/>
      <c r="E937" s="379"/>
      <c r="F937" s="379"/>
      <c r="G937" s="380"/>
    </row>
    <row r="938" spans="1:7" s="373" customFormat="1" ht="13.8" x14ac:dyDescent="0.3">
      <c r="A938" s="378"/>
      <c r="B938" s="378"/>
      <c r="C938" s="379"/>
      <c r="D938" s="379"/>
      <c r="E938" s="379"/>
      <c r="F938" s="379"/>
      <c r="G938" s="380"/>
    </row>
    <row r="939" spans="1:7" s="373" customFormat="1" ht="13.8" x14ac:dyDescent="0.3">
      <c r="A939" s="378"/>
      <c r="B939" s="378"/>
      <c r="C939" s="379"/>
      <c r="D939" s="379"/>
      <c r="E939" s="379"/>
      <c r="F939" s="379"/>
      <c r="G939" s="380"/>
    </row>
    <row r="940" spans="1:7" s="373" customFormat="1" ht="13.8" x14ac:dyDescent="0.3">
      <c r="A940" s="378"/>
      <c r="B940" s="378"/>
      <c r="C940" s="379"/>
      <c r="D940" s="379"/>
      <c r="E940" s="379"/>
      <c r="F940" s="379"/>
      <c r="G940" s="380"/>
    </row>
    <row r="941" spans="1:7" s="373" customFormat="1" ht="13.8" x14ac:dyDescent="0.3">
      <c r="A941" s="378"/>
      <c r="B941" s="378"/>
      <c r="C941" s="379"/>
      <c r="D941" s="379"/>
      <c r="E941" s="379"/>
      <c r="F941" s="379"/>
      <c r="G941" s="380"/>
    </row>
    <row r="942" spans="1:7" s="373" customFormat="1" ht="13.8" x14ac:dyDescent="0.3">
      <c r="A942" s="378"/>
      <c r="B942" s="378"/>
      <c r="C942" s="379"/>
      <c r="D942" s="379"/>
      <c r="E942" s="379"/>
      <c r="F942" s="379"/>
      <c r="G942" s="380"/>
    </row>
    <row r="943" spans="1:7" s="373" customFormat="1" ht="13.8" x14ac:dyDescent="0.3">
      <c r="A943" s="378"/>
      <c r="B943" s="378"/>
      <c r="C943" s="379"/>
      <c r="D943" s="379"/>
      <c r="E943" s="379"/>
      <c r="F943" s="379"/>
      <c r="G943" s="380"/>
    </row>
    <row r="944" spans="1:7" s="373" customFormat="1" ht="13.8" x14ac:dyDescent="0.3">
      <c r="A944" s="378"/>
      <c r="B944" s="378"/>
      <c r="C944" s="379"/>
      <c r="D944" s="379"/>
      <c r="E944" s="379"/>
      <c r="F944" s="379"/>
      <c r="G944" s="380"/>
    </row>
    <row r="945" spans="1:7" s="373" customFormat="1" ht="13.8" x14ac:dyDescent="0.3">
      <c r="A945" s="378"/>
      <c r="B945" s="378"/>
      <c r="C945" s="379"/>
      <c r="D945" s="379"/>
      <c r="E945" s="379"/>
      <c r="F945" s="379"/>
      <c r="G945" s="380"/>
    </row>
    <row r="946" spans="1:7" s="373" customFormat="1" ht="13.8" x14ac:dyDescent="0.3">
      <c r="A946" s="378"/>
      <c r="B946" s="378"/>
      <c r="C946" s="379"/>
      <c r="D946" s="379"/>
      <c r="E946" s="379"/>
      <c r="F946" s="379"/>
      <c r="G946" s="380"/>
    </row>
    <row r="947" spans="1:7" s="373" customFormat="1" ht="13.8" x14ac:dyDescent="0.3">
      <c r="A947" s="378"/>
      <c r="B947" s="378"/>
      <c r="C947" s="379"/>
      <c r="D947" s="379"/>
      <c r="E947" s="379"/>
      <c r="F947" s="379"/>
      <c r="G947" s="380"/>
    </row>
    <row r="948" spans="1:7" s="373" customFormat="1" ht="13.8" x14ac:dyDescent="0.3">
      <c r="A948" s="378"/>
      <c r="B948" s="378"/>
      <c r="C948" s="379"/>
      <c r="D948" s="379"/>
      <c r="E948" s="379"/>
      <c r="F948" s="379"/>
      <c r="G948" s="380"/>
    </row>
    <row r="949" spans="1:7" s="373" customFormat="1" ht="13.8" x14ac:dyDescent="0.3">
      <c r="A949" s="378"/>
      <c r="B949" s="378"/>
      <c r="C949" s="379"/>
      <c r="D949" s="379"/>
      <c r="E949" s="379"/>
      <c r="F949" s="379"/>
      <c r="G949" s="380"/>
    </row>
    <row r="950" spans="1:7" s="373" customFormat="1" ht="13.8" x14ac:dyDescent="0.3">
      <c r="A950" s="378"/>
      <c r="B950" s="378"/>
      <c r="C950" s="379"/>
      <c r="D950" s="379"/>
      <c r="E950" s="379"/>
      <c r="F950" s="379"/>
      <c r="G950" s="380"/>
    </row>
    <row r="951" spans="1:7" s="373" customFormat="1" ht="13.8" x14ac:dyDescent="0.3">
      <c r="A951" s="378"/>
      <c r="B951" s="378"/>
      <c r="C951" s="379"/>
      <c r="D951" s="379"/>
      <c r="E951" s="379"/>
      <c r="F951" s="379"/>
      <c r="G951" s="380"/>
    </row>
    <row r="952" spans="1:7" s="373" customFormat="1" ht="13.8" x14ac:dyDescent="0.3">
      <c r="A952" s="378"/>
      <c r="B952" s="378"/>
      <c r="C952" s="379"/>
      <c r="D952" s="379"/>
      <c r="E952" s="379"/>
      <c r="F952" s="379"/>
      <c r="G952" s="380"/>
    </row>
    <row r="953" spans="1:7" s="373" customFormat="1" ht="13.8" x14ac:dyDescent="0.3">
      <c r="A953" s="378"/>
      <c r="B953" s="378"/>
      <c r="C953" s="379"/>
      <c r="D953" s="379"/>
      <c r="E953" s="379"/>
      <c r="F953" s="379"/>
      <c r="G953" s="380"/>
    </row>
    <row r="954" spans="1:7" s="373" customFormat="1" ht="13.8" x14ac:dyDescent="0.3">
      <c r="A954" s="378"/>
      <c r="B954" s="378"/>
      <c r="C954" s="379"/>
      <c r="D954" s="379"/>
      <c r="E954" s="379"/>
      <c r="F954" s="379"/>
      <c r="G954" s="380"/>
    </row>
    <row r="955" spans="1:7" s="373" customFormat="1" ht="13.8" x14ac:dyDescent="0.3">
      <c r="A955" s="378"/>
      <c r="B955" s="378"/>
      <c r="C955" s="379"/>
      <c r="D955" s="379"/>
      <c r="E955" s="379"/>
      <c r="F955" s="379"/>
      <c r="G955" s="380"/>
    </row>
    <row r="956" spans="1:7" s="373" customFormat="1" ht="13.8" x14ac:dyDescent="0.3">
      <c r="A956" s="378"/>
      <c r="B956" s="378"/>
      <c r="C956" s="379"/>
      <c r="D956" s="379"/>
      <c r="E956" s="379"/>
      <c r="F956" s="379"/>
      <c r="G956" s="380"/>
    </row>
    <row r="957" spans="1:7" s="373" customFormat="1" ht="13.8" x14ac:dyDescent="0.3">
      <c r="A957" s="378"/>
      <c r="B957" s="378"/>
      <c r="C957" s="379"/>
      <c r="D957" s="379"/>
      <c r="E957" s="379"/>
      <c r="F957" s="379"/>
      <c r="G957" s="380"/>
    </row>
    <row r="958" spans="1:7" s="373" customFormat="1" ht="13.8" x14ac:dyDescent="0.3">
      <c r="A958" s="378"/>
      <c r="B958" s="378"/>
      <c r="C958" s="379"/>
      <c r="D958" s="379"/>
      <c r="E958" s="379"/>
      <c r="F958" s="379"/>
      <c r="G958" s="380"/>
    </row>
    <row r="959" spans="1:7" s="373" customFormat="1" ht="13.8" x14ac:dyDescent="0.3">
      <c r="A959" s="378"/>
      <c r="B959" s="378"/>
      <c r="C959" s="379"/>
      <c r="D959" s="379"/>
      <c r="E959" s="379"/>
      <c r="F959" s="379"/>
      <c r="G959" s="380"/>
    </row>
    <row r="960" spans="1:7" s="373" customFormat="1" ht="13.8" x14ac:dyDescent="0.3">
      <c r="A960" s="378"/>
      <c r="B960" s="378"/>
      <c r="C960" s="379"/>
      <c r="D960" s="379"/>
      <c r="E960" s="379"/>
      <c r="F960" s="379"/>
      <c r="G960" s="380"/>
    </row>
    <row r="961" spans="1:7" s="373" customFormat="1" ht="13.8" x14ac:dyDescent="0.3">
      <c r="A961" s="378"/>
      <c r="B961" s="378"/>
      <c r="C961" s="379"/>
      <c r="D961" s="379"/>
      <c r="E961" s="379"/>
      <c r="F961" s="379"/>
      <c r="G961" s="380"/>
    </row>
    <row r="962" spans="1:7" s="373" customFormat="1" ht="13.8" x14ac:dyDescent="0.3">
      <c r="A962" s="378"/>
      <c r="B962" s="378"/>
      <c r="C962" s="379"/>
      <c r="D962" s="379"/>
      <c r="E962" s="379"/>
      <c r="F962" s="379"/>
      <c r="G962" s="380"/>
    </row>
    <row r="963" spans="1:7" s="373" customFormat="1" ht="13.8" x14ac:dyDescent="0.3">
      <c r="A963" s="378"/>
      <c r="B963" s="378"/>
      <c r="C963" s="379"/>
      <c r="D963" s="379"/>
      <c r="E963" s="379"/>
      <c r="F963" s="379"/>
      <c r="G963" s="380"/>
    </row>
    <row r="964" spans="1:7" s="373" customFormat="1" ht="13.8" x14ac:dyDescent="0.3">
      <c r="A964" s="378"/>
      <c r="B964" s="378"/>
      <c r="C964" s="379"/>
      <c r="D964" s="379"/>
      <c r="E964" s="379"/>
      <c r="F964" s="379"/>
      <c r="G964" s="380"/>
    </row>
    <row r="965" spans="1:7" s="373" customFormat="1" ht="13.8" x14ac:dyDescent="0.3">
      <c r="A965" s="378"/>
      <c r="B965" s="378"/>
      <c r="C965" s="379"/>
      <c r="D965" s="379"/>
      <c r="E965" s="379"/>
      <c r="F965" s="379"/>
      <c r="G965" s="380"/>
    </row>
    <row r="966" spans="1:7" s="373" customFormat="1" ht="13.8" x14ac:dyDescent="0.3">
      <c r="A966" s="378"/>
      <c r="B966" s="378"/>
      <c r="C966" s="379"/>
      <c r="D966" s="379"/>
      <c r="E966" s="379"/>
      <c r="F966" s="379"/>
      <c r="G966" s="380"/>
    </row>
    <row r="967" spans="1:7" s="373" customFormat="1" ht="13.8" x14ac:dyDescent="0.3">
      <c r="A967" s="378"/>
      <c r="B967" s="378"/>
      <c r="C967" s="379"/>
      <c r="D967" s="379"/>
      <c r="E967" s="379"/>
      <c r="F967" s="379"/>
      <c r="G967" s="380"/>
    </row>
    <row r="968" spans="1:7" s="373" customFormat="1" ht="13.8" x14ac:dyDescent="0.3">
      <c r="A968" s="378"/>
      <c r="B968" s="378"/>
      <c r="C968" s="379"/>
      <c r="D968" s="379"/>
      <c r="E968" s="379"/>
      <c r="F968" s="379"/>
      <c r="G968" s="380"/>
    </row>
    <row r="969" spans="1:7" s="373" customFormat="1" ht="13.8" x14ac:dyDescent="0.3">
      <c r="A969" s="378"/>
      <c r="B969" s="378"/>
      <c r="C969" s="379"/>
      <c r="D969" s="379"/>
      <c r="E969" s="379"/>
      <c r="F969" s="379"/>
      <c r="G969" s="380"/>
    </row>
    <row r="970" spans="1:7" s="373" customFormat="1" ht="13.8" x14ac:dyDescent="0.3">
      <c r="A970" s="378"/>
      <c r="B970" s="378"/>
      <c r="C970" s="379"/>
      <c r="D970" s="379"/>
      <c r="E970" s="379"/>
      <c r="F970" s="379"/>
      <c r="G970" s="380"/>
    </row>
    <row r="971" spans="1:7" s="373" customFormat="1" ht="13.8" x14ac:dyDescent="0.3">
      <c r="A971" s="378"/>
      <c r="B971" s="378"/>
      <c r="C971" s="379"/>
      <c r="D971" s="379"/>
      <c r="E971" s="379"/>
      <c r="F971" s="379"/>
      <c r="G971" s="380"/>
    </row>
    <row r="972" spans="1:7" s="373" customFormat="1" ht="13.8" x14ac:dyDescent="0.3">
      <c r="A972" s="378"/>
      <c r="B972" s="378"/>
      <c r="C972" s="379"/>
      <c r="D972" s="379"/>
      <c r="E972" s="379"/>
      <c r="F972" s="379"/>
      <c r="G972" s="380"/>
    </row>
    <row r="973" spans="1:7" s="373" customFormat="1" ht="13.8" x14ac:dyDescent="0.3">
      <c r="A973" s="378"/>
      <c r="B973" s="378"/>
      <c r="C973" s="379"/>
      <c r="D973" s="379"/>
      <c r="E973" s="379"/>
      <c r="F973" s="379"/>
      <c r="G973" s="380"/>
    </row>
    <row r="974" spans="1:7" s="373" customFormat="1" ht="13.8" x14ac:dyDescent="0.3">
      <c r="A974" s="378"/>
      <c r="B974" s="378"/>
      <c r="C974" s="379"/>
      <c r="D974" s="379"/>
      <c r="E974" s="379"/>
      <c r="F974" s="379"/>
      <c r="G974" s="380"/>
    </row>
    <row r="975" spans="1:7" s="373" customFormat="1" ht="13.8" x14ac:dyDescent="0.3">
      <c r="A975" s="378"/>
      <c r="B975" s="378"/>
      <c r="C975" s="379"/>
      <c r="D975" s="379"/>
      <c r="E975" s="379"/>
      <c r="F975" s="379"/>
      <c r="G975" s="380"/>
    </row>
    <row r="976" spans="1:7" s="373" customFormat="1" ht="13.8" x14ac:dyDescent="0.3">
      <c r="A976" s="378"/>
      <c r="B976" s="378"/>
      <c r="C976" s="379"/>
      <c r="D976" s="379"/>
      <c r="E976" s="379"/>
      <c r="F976" s="379"/>
      <c r="G976" s="380"/>
    </row>
    <row r="977" spans="1:7" s="373" customFormat="1" ht="13.8" x14ac:dyDescent="0.3">
      <c r="A977" s="378"/>
      <c r="B977" s="378"/>
      <c r="C977" s="379"/>
      <c r="D977" s="379"/>
      <c r="E977" s="379"/>
      <c r="F977" s="379"/>
      <c r="G977" s="380"/>
    </row>
    <row r="978" spans="1:7" s="373" customFormat="1" ht="13.8" x14ac:dyDescent="0.3">
      <c r="A978" s="378"/>
      <c r="B978" s="378"/>
      <c r="C978" s="379"/>
      <c r="D978" s="379"/>
      <c r="E978" s="379"/>
      <c r="F978" s="379"/>
      <c r="G978" s="380"/>
    </row>
    <row r="979" spans="1:7" s="373" customFormat="1" ht="13.8" x14ac:dyDescent="0.3">
      <c r="A979" s="378"/>
      <c r="B979" s="378"/>
      <c r="C979" s="379"/>
      <c r="D979" s="379"/>
      <c r="E979" s="379"/>
      <c r="F979" s="379"/>
      <c r="G979" s="380"/>
    </row>
    <row r="980" spans="1:7" s="373" customFormat="1" ht="13.8" x14ac:dyDescent="0.3">
      <c r="A980" s="378"/>
      <c r="B980" s="378"/>
      <c r="C980" s="379"/>
      <c r="D980" s="379"/>
      <c r="E980" s="379"/>
      <c r="F980" s="379"/>
      <c r="G980" s="380"/>
    </row>
    <row r="981" spans="1:7" s="373" customFormat="1" ht="13.8" x14ac:dyDescent="0.3">
      <c r="A981" s="378"/>
      <c r="B981" s="378"/>
      <c r="C981" s="379"/>
      <c r="D981" s="379"/>
      <c r="E981" s="379"/>
      <c r="F981" s="379"/>
      <c r="G981" s="380"/>
    </row>
    <row r="982" spans="1:7" s="373" customFormat="1" ht="13.8" x14ac:dyDescent="0.3">
      <c r="A982" s="378"/>
      <c r="B982" s="378"/>
      <c r="C982" s="379"/>
      <c r="D982" s="379"/>
      <c r="E982" s="379"/>
      <c r="F982" s="379"/>
      <c r="G982" s="380"/>
    </row>
    <row r="983" spans="1:7" s="373" customFormat="1" ht="13.8" x14ac:dyDescent="0.3">
      <c r="A983" s="378"/>
      <c r="B983" s="378"/>
      <c r="C983" s="379"/>
      <c r="D983" s="379"/>
      <c r="E983" s="379"/>
      <c r="F983" s="379"/>
      <c r="G983" s="380"/>
    </row>
    <row r="984" spans="1:7" s="373" customFormat="1" ht="13.8" x14ac:dyDescent="0.3">
      <c r="A984" s="378"/>
      <c r="B984" s="378"/>
      <c r="C984" s="379"/>
      <c r="D984" s="379"/>
      <c r="E984" s="379"/>
      <c r="F984" s="379"/>
      <c r="G984" s="380"/>
    </row>
    <row r="985" spans="1:7" s="373" customFormat="1" ht="13.8" x14ac:dyDescent="0.3">
      <c r="A985" s="378"/>
      <c r="B985" s="378"/>
      <c r="C985" s="379"/>
      <c r="D985" s="379"/>
      <c r="E985" s="379"/>
      <c r="F985" s="379"/>
      <c r="G985" s="380"/>
    </row>
    <row r="986" spans="1:7" s="373" customFormat="1" ht="13.8" x14ac:dyDescent="0.3">
      <c r="A986" s="378"/>
      <c r="B986" s="378"/>
      <c r="C986" s="379"/>
      <c r="D986" s="379"/>
      <c r="E986" s="379"/>
      <c r="F986" s="379"/>
      <c r="G986" s="380"/>
    </row>
    <row r="987" spans="1:7" s="373" customFormat="1" ht="13.8" x14ac:dyDescent="0.3">
      <c r="A987" s="378"/>
      <c r="B987" s="378"/>
      <c r="C987" s="379"/>
      <c r="D987" s="379"/>
      <c r="E987" s="379"/>
      <c r="F987" s="379"/>
      <c r="G987" s="380"/>
    </row>
    <row r="988" spans="1:7" s="373" customFormat="1" ht="13.8" x14ac:dyDescent="0.3">
      <c r="A988" s="378"/>
      <c r="B988" s="378"/>
      <c r="C988" s="379"/>
      <c r="D988" s="379"/>
      <c r="E988" s="379"/>
      <c r="F988" s="379"/>
      <c r="G988" s="380"/>
    </row>
    <row r="989" spans="1:7" s="373" customFormat="1" ht="13.8" x14ac:dyDescent="0.3">
      <c r="A989" s="378"/>
      <c r="B989" s="378"/>
      <c r="C989" s="379"/>
      <c r="D989" s="379"/>
      <c r="E989" s="379"/>
      <c r="F989" s="379"/>
      <c r="G989" s="380"/>
    </row>
    <row r="990" spans="1:7" s="373" customFormat="1" ht="13.8" x14ac:dyDescent="0.3">
      <c r="A990" s="378"/>
      <c r="B990" s="378"/>
      <c r="C990" s="379"/>
      <c r="D990" s="379"/>
      <c r="E990" s="379"/>
      <c r="F990" s="379"/>
      <c r="G990" s="380"/>
    </row>
    <row r="991" spans="1:7" s="373" customFormat="1" ht="13.8" x14ac:dyDescent="0.3">
      <c r="A991" s="378"/>
      <c r="B991" s="378"/>
      <c r="C991" s="379"/>
      <c r="D991" s="379"/>
      <c r="E991" s="379"/>
      <c r="F991" s="379"/>
      <c r="G991" s="380"/>
    </row>
    <row r="992" spans="1:7" s="373" customFormat="1" ht="13.8" x14ac:dyDescent="0.3">
      <c r="A992" s="378"/>
      <c r="B992" s="378"/>
      <c r="C992" s="379"/>
      <c r="D992" s="379"/>
      <c r="E992" s="379"/>
      <c r="F992" s="379"/>
      <c r="G992" s="380"/>
    </row>
    <row r="993" spans="1:7" s="373" customFormat="1" ht="13.8" x14ac:dyDescent="0.3">
      <c r="A993" s="378"/>
      <c r="B993" s="378"/>
      <c r="C993" s="379"/>
      <c r="D993" s="379"/>
      <c r="E993" s="379"/>
      <c r="F993" s="379"/>
      <c r="G993" s="380"/>
    </row>
    <row r="994" spans="1:7" s="373" customFormat="1" ht="13.8" x14ac:dyDescent="0.3">
      <c r="A994" s="378"/>
      <c r="B994" s="378"/>
      <c r="C994" s="379"/>
      <c r="D994" s="379"/>
      <c r="E994" s="379"/>
      <c r="F994" s="379"/>
      <c r="G994" s="380"/>
    </row>
    <row r="995" spans="1:7" s="373" customFormat="1" ht="13.8" x14ac:dyDescent="0.3">
      <c r="A995" s="378"/>
      <c r="B995" s="378"/>
      <c r="C995" s="379"/>
      <c r="D995" s="379"/>
      <c r="E995" s="379"/>
      <c r="F995" s="379"/>
      <c r="G995" s="380"/>
    </row>
    <row r="996" spans="1:7" s="373" customFormat="1" ht="13.8" x14ac:dyDescent="0.3">
      <c r="A996" s="378"/>
      <c r="B996" s="378"/>
      <c r="C996" s="379"/>
      <c r="D996" s="379"/>
      <c r="E996" s="379"/>
      <c r="F996" s="379"/>
      <c r="G996" s="380"/>
    </row>
    <row r="997" spans="1:7" s="373" customFormat="1" ht="13.8" x14ac:dyDescent="0.3">
      <c r="A997" s="378"/>
      <c r="B997" s="378"/>
      <c r="C997" s="379"/>
      <c r="D997" s="379"/>
      <c r="E997" s="379"/>
      <c r="F997" s="379"/>
      <c r="G997" s="380"/>
    </row>
    <row r="998" spans="1:7" s="373" customFormat="1" ht="13.8" x14ac:dyDescent="0.3">
      <c r="A998" s="378"/>
      <c r="B998" s="378"/>
      <c r="C998" s="379"/>
      <c r="D998" s="379"/>
      <c r="E998" s="379"/>
      <c r="F998" s="379"/>
      <c r="G998" s="380"/>
    </row>
    <row r="999" spans="1:7" s="373" customFormat="1" ht="13.8" x14ac:dyDescent="0.3">
      <c r="A999" s="378"/>
      <c r="B999" s="378"/>
      <c r="C999" s="379"/>
      <c r="D999" s="379"/>
      <c r="E999" s="379"/>
      <c r="F999" s="379"/>
      <c r="G999" s="380"/>
    </row>
    <row r="1000" spans="1:7" s="373" customFormat="1" ht="13.8" x14ac:dyDescent="0.3">
      <c r="A1000" s="378"/>
      <c r="B1000" s="378"/>
      <c r="C1000" s="379"/>
      <c r="D1000" s="379"/>
      <c r="E1000" s="379"/>
      <c r="F1000" s="379"/>
      <c r="G1000" s="380"/>
    </row>
    <row r="1001" spans="1:7" s="373" customFormat="1" ht="13.8" x14ac:dyDescent="0.3">
      <c r="A1001" s="378"/>
      <c r="B1001" s="378"/>
      <c r="C1001" s="379"/>
      <c r="D1001" s="379"/>
      <c r="E1001" s="379"/>
      <c r="F1001" s="379"/>
      <c r="G1001" s="380"/>
    </row>
    <row r="1002" spans="1:7" s="373" customFormat="1" ht="13.8" x14ac:dyDescent="0.3">
      <c r="A1002" s="378"/>
      <c r="B1002" s="378"/>
      <c r="C1002" s="379"/>
      <c r="D1002" s="379"/>
      <c r="E1002" s="379"/>
      <c r="F1002" s="379"/>
      <c r="G1002" s="380"/>
    </row>
    <row r="1003" spans="1:7" s="373" customFormat="1" ht="13.8" x14ac:dyDescent="0.3">
      <c r="A1003" s="378"/>
      <c r="B1003" s="378"/>
      <c r="C1003" s="379"/>
      <c r="D1003" s="379"/>
      <c r="E1003" s="379"/>
      <c r="F1003" s="379"/>
      <c r="G1003" s="380"/>
    </row>
    <row r="1004" spans="1:7" s="373" customFormat="1" ht="13.8" x14ac:dyDescent="0.3">
      <c r="A1004" s="378"/>
      <c r="B1004" s="378"/>
      <c r="C1004" s="379"/>
      <c r="D1004" s="379"/>
      <c r="E1004" s="379"/>
      <c r="F1004" s="379"/>
      <c r="G1004" s="380"/>
    </row>
    <row r="1005" spans="1:7" s="373" customFormat="1" ht="13.8" x14ac:dyDescent="0.3">
      <c r="A1005" s="378"/>
      <c r="B1005" s="378"/>
      <c r="C1005" s="379"/>
      <c r="D1005" s="379"/>
      <c r="E1005" s="379"/>
      <c r="F1005" s="379"/>
      <c r="G1005" s="380"/>
    </row>
    <row r="1006" spans="1:7" s="373" customFormat="1" ht="13.8" x14ac:dyDescent="0.3">
      <c r="A1006" s="378"/>
      <c r="B1006" s="378"/>
      <c r="C1006" s="379"/>
      <c r="D1006" s="379"/>
      <c r="E1006" s="379"/>
      <c r="F1006" s="379"/>
      <c r="G1006" s="380"/>
    </row>
    <row r="1007" spans="1:7" s="373" customFormat="1" ht="13.8" x14ac:dyDescent="0.3">
      <c r="A1007" s="378"/>
      <c r="B1007" s="378"/>
      <c r="C1007" s="379"/>
      <c r="D1007" s="379"/>
      <c r="E1007" s="379"/>
      <c r="F1007" s="379"/>
      <c r="G1007" s="380"/>
    </row>
    <row r="1008" spans="1:7" s="373" customFormat="1" ht="13.8" x14ac:dyDescent="0.3">
      <c r="A1008" s="378"/>
      <c r="B1008" s="378"/>
      <c r="C1008" s="379"/>
      <c r="D1008" s="379"/>
      <c r="E1008" s="379"/>
      <c r="F1008" s="379"/>
      <c r="G1008" s="380"/>
    </row>
    <row r="1009" spans="1:7" s="373" customFormat="1" ht="13.8" x14ac:dyDescent="0.3">
      <c r="A1009" s="378"/>
      <c r="B1009" s="378"/>
      <c r="C1009" s="379"/>
      <c r="D1009" s="379"/>
      <c r="E1009" s="379"/>
      <c r="F1009" s="379"/>
      <c r="G1009" s="380"/>
    </row>
    <row r="1010" spans="1:7" s="373" customFormat="1" ht="13.8" x14ac:dyDescent="0.3">
      <c r="A1010" s="378"/>
      <c r="B1010" s="378"/>
      <c r="C1010" s="379"/>
      <c r="D1010" s="379"/>
      <c r="E1010" s="379"/>
      <c r="F1010" s="379"/>
      <c r="G1010" s="380"/>
    </row>
    <row r="1011" spans="1:7" s="373" customFormat="1" ht="13.8" x14ac:dyDescent="0.3">
      <c r="A1011" s="378"/>
      <c r="B1011" s="378"/>
      <c r="C1011" s="379"/>
      <c r="D1011" s="379"/>
      <c r="E1011" s="379"/>
      <c r="F1011" s="379"/>
      <c r="G1011" s="380"/>
    </row>
    <row r="1012" spans="1:7" s="373" customFormat="1" ht="13.8" x14ac:dyDescent="0.3">
      <c r="A1012" s="378"/>
      <c r="B1012" s="378"/>
      <c r="C1012" s="379"/>
      <c r="D1012" s="379"/>
      <c r="E1012" s="379"/>
      <c r="F1012" s="379"/>
      <c r="G1012" s="380"/>
    </row>
    <row r="1013" spans="1:7" s="373" customFormat="1" ht="13.8" x14ac:dyDescent="0.3">
      <c r="A1013" s="378"/>
      <c r="B1013" s="378"/>
      <c r="C1013" s="379"/>
      <c r="D1013" s="379"/>
      <c r="E1013" s="379"/>
      <c r="F1013" s="379"/>
      <c r="G1013" s="380"/>
    </row>
    <row r="1014" spans="1:7" s="373" customFormat="1" ht="13.8" x14ac:dyDescent="0.3">
      <c r="A1014" s="378"/>
      <c r="B1014" s="378"/>
      <c r="C1014" s="379"/>
      <c r="D1014" s="379"/>
      <c r="E1014" s="379"/>
      <c r="F1014" s="379"/>
      <c r="G1014" s="380"/>
    </row>
    <row r="1015" spans="1:7" s="373" customFormat="1" ht="13.8" x14ac:dyDescent="0.3">
      <c r="A1015" s="378"/>
      <c r="B1015" s="378"/>
      <c r="C1015" s="379"/>
      <c r="D1015" s="379"/>
      <c r="E1015" s="379"/>
      <c r="F1015" s="379"/>
      <c r="G1015" s="380"/>
    </row>
    <row r="1016" spans="1:7" s="373" customFormat="1" ht="13.8" x14ac:dyDescent="0.3">
      <c r="A1016" s="378"/>
      <c r="B1016" s="378"/>
      <c r="C1016" s="379"/>
      <c r="D1016" s="379"/>
      <c r="E1016" s="379"/>
      <c r="F1016" s="379"/>
      <c r="G1016" s="380"/>
    </row>
    <row r="1017" spans="1:7" s="373" customFormat="1" ht="13.8" x14ac:dyDescent="0.3">
      <c r="A1017" s="378"/>
      <c r="B1017" s="378"/>
      <c r="C1017" s="379"/>
      <c r="D1017" s="379"/>
      <c r="E1017" s="379"/>
      <c r="F1017" s="379"/>
      <c r="G1017" s="380"/>
    </row>
    <row r="1018" spans="1:7" s="373" customFormat="1" ht="13.8" x14ac:dyDescent="0.3">
      <c r="A1018" s="378"/>
      <c r="B1018" s="378"/>
      <c r="C1018" s="379"/>
      <c r="D1018" s="379"/>
      <c r="E1018" s="379"/>
      <c r="F1018" s="379"/>
      <c r="G1018" s="380"/>
    </row>
    <row r="1019" spans="1:7" s="373" customFormat="1" ht="13.8" x14ac:dyDescent="0.3">
      <c r="A1019" s="378"/>
      <c r="B1019" s="378"/>
      <c r="C1019" s="379"/>
      <c r="D1019" s="379"/>
      <c r="E1019" s="379"/>
      <c r="F1019" s="379"/>
      <c r="G1019" s="380"/>
    </row>
    <row r="1020" spans="1:7" s="373" customFormat="1" ht="13.8" x14ac:dyDescent="0.3">
      <c r="A1020" s="378"/>
      <c r="B1020" s="378"/>
      <c r="C1020" s="379"/>
      <c r="D1020" s="379"/>
      <c r="E1020" s="379"/>
      <c r="F1020" s="379"/>
      <c r="G1020" s="380"/>
    </row>
    <row r="1021" spans="1:7" s="373" customFormat="1" ht="13.8" x14ac:dyDescent="0.3">
      <c r="A1021" s="378"/>
      <c r="B1021" s="378"/>
      <c r="C1021" s="379"/>
      <c r="D1021" s="379"/>
      <c r="E1021" s="379"/>
      <c r="F1021" s="379"/>
      <c r="G1021" s="380"/>
    </row>
    <row r="1022" spans="1:7" s="373" customFormat="1" ht="13.8" x14ac:dyDescent="0.3">
      <c r="A1022" s="378"/>
      <c r="B1022" s="378"/>
      <c r="C1022" s="379"/>
      <c r="D1022" s="379"/>
      <c r="E1022" s="379"/>
      <c r="F1022" s="379"/>
      <c r="G1022" s="380"/>
    </row>
    <row r="1023" spans="1:7" s="373" customFormat="1" ht="13.8" x14ac:dyDescent="0.3">
      <c r="A1023" s="378"/>
      <c r="B1023" s="378"/>
      <c r="C1023" s="379"/>
      <c r="D1023" s="379"/>
      <c r="E1023" s="379"/>
      <c r="F1023" s="379"/>
      <c r="G1023" s="380"/>
    </row>
    <row r="1024" spans="1:7" s="373" customFormat="1" ht="13.8" x14ac:dyDescent="0.3">
      <c r="A1024" s="378"/>
      <c r="B1024" s="378"/>
      <c r="C1024" s="379"/>
      <c r="D1024" s="379"/>
      <c r="E1024" s="379"/>
      <c r="F1024" s="379"/>
      <c r="G1024" s="380"/>
    </row>
    <row r="1025" spans="1:7" s="373" customFormat="1" ht="13.8" x14ac:dyDescent="0.3">
      <c r="A1025" s="378"/>
      <c r="B1025" s="378"/>
      <c r="C1025" s="379"/>
      <c r="D1025" s="379"/>
      <c r="E1025" s="379"/>
      <c r="F1025" s="379"/>
      <c r="G1025" s="380"/>
    </row>
    <row r="1026" spans="1:7" s="373" customFormat="1" ht="13.8" x14ac:dyDescent="0.3">
      <c r="A1026" s="378"/>
      <c r="B1026" s="378"/>
      <c r="C1026" s="379"/>
      <c r="D1026" s="379"/>
      <c r="E1026" s="379"/>
      <c r="F1026" s="379"/>
      <c r="G1026" s="380"/>
    </row>
    <row r="1027" spans="1:7" s="373" customFormat="1" ht="13.8" x14ac:dyDescent="0.3">
      <c r="A1027" s="378"/>
      <c r="B1027" s="378"/>
      <c r="C1027" s="379"/>
      <c r="D1027" s="379"/>
      <c r="E1027" s="379"/>
      <c r="F1027" s="379"/>
      <c r="G1027" s="380"/>
    </row>
    <row r="1028" spans="1:7" s="373" customFormat="1" ht="13.8" x14ac:dyDescent="0.3">
      <c r="A1028" s="378"/>
      <c r="B1028" s="378"/>
      <c r="C1028" s="379"/>
      <c r="D1028" s="379"/>
      <c r="E1028" s="379"/>
      <c r="F1028" s="379"/>
      <c r="G1028" s="380"/>
    </row>
    <row r="1029" spans="1:7" s="373" customFormat="1" ht="13.8" x14ac:dyDescent="0.3">
      <c r="A1029" s="378"/>
      <c r="B1029" s="378"/>
      <c r="C1029" s="379"/>
      <c r="D1029" s="379"/>
      <c r="E1029" s="379"/>
      <c r="F1029" s="379"/>
      <c r="G1029" s="380"/>
    </row>
    <row r="1030" spans="1:7" s="373" customFormat="1" ht="13.8" x14ac:dyDescent="0.3">
      <c r="A1030" s="378"/>
      <c r="B1030" s="378"/>
      <c r="C1030" s="379"/>
      <c r="D1030" s="379"/>
      <c r="E1030" s="379"/>
      <c r="F1030" s="379"/>
      <c r="G1030" s="380"/>
    </row>
    <row r="1031" spans="1:7" s="373" customFormat="1" ht="13.8" x14ac:dyDescent="0.3">
      <c r="A1031" s="378"/>
      <c r="B1031" s="378"/>
      <c r="C1031" s="379"/>
      <c r="D1031" s="379"/>
      <c r="E1031" s="379"/>
      <c r="F1031" s="379"/>
      <c r="G1031" s="380"/>
    </row>
    <row r="1032" spans="1:7" s="373" customFormat="1" ht="13.8" x14ac:dyDescent="0.3">
      <c r="A1032" s="378"/>
      <c r="B1032" s="378"/>
      <c r="C1032" s="379"/>
      <c r="D1032" s="379"/>
      <c r="E1032" s="379"/>
      <c r="F1032" s="379"/>
      <c r="G1032" s="380"/>
    </row>
    <row r="1033" spans="1:7" s="373" customFormat="1" ht="13.8" x14ac:dyDescent="0.3">
      <c r="A1033" s="378"/>
      <c r="B1033" s="378"/>
      <c r="C1033" s="379"/>
      <c r="D1033" s="379"/>
      <c r="E1033" s="379"/>
      <c r="F1033" s="379"/>
      <c r="G1033" s="380"/>
    </row>
    <row r="1034" spans="1:7" s="373" customFormat="1" ht="13.8" x14ac:dyDescent="0.3">
      <c r="A1034" s="378"/>
      <c r="B1034" s="378"/>
      <c r="C1034" s="379"/>
      <c r="D1034" s="379"/>
      <c r="E1034" s="379"/>
      <c r="F1034" s="379"/>
      <c r="G1034" s="380"/>
    </row>
    <row r="1035" spans="1:7" s="373" customFormat="1" ht="13.8" x14ac:dyDescent="0.3">
      <c r="A1035" s="378"/>
      <c r="B1035" s="378"/>
      <c r="C1035" s="379"/>
      <c r="D1035" s="379"/>
      <c r="E1035" s="379"/>
      <c r="F1035" s="379"/>
      <c r="G1035" s="380"/>
    </row>
    <row r="1036" spans="1:7" s="373" customFormat="1" ht="13.8" x14ac:dyDescent="0.3">
      <c r="A1036" s="378"/>
      <c r="B1036" s="378"/>
      <c r="C1036" s="379"/>
      <c r="D1036" s="379"/>
      <c r="E1036" s="379"/>
      <c r="F1036" s="379"/>
      <c r="G1036" s="380"/>
    </row>
    <row r="1037" spans="1:7" s="373" customFormat="1" ht="13.8" x14ac:dyDescent="0.3">
      <c r="A1037" s="378"/>
      <c r="B1037" s="378"/>
      <c r="C1037" s="379"/>
      <c r="D1037" s="379"/>
      <c r="E1037" s="379"/>
      <c r="F1037" s="379"/>
      <c r="G1037" s="380"/>
    </row>
    <row r="1038" spans="1:7" s="373" customFormat="1" ht="13.8" x14ac:dyDescent="0.3">
      <c r="A1038" s="378"/>
      <c r="B1038" s="378"/>
      <c r="C1038" s="379"/>
      <c r="D1038" s="379"/>
      <c r="E1038" s="379"/>
      <c r="F1038" s="379"/>
      <c r="G1038" s="380"/>
    </row>
    <row r="1039" spans="1:7" s="373" customFormat="1" ht="13.8" x14ac:dyDescent="0.3">
      <c r="A1039" s="378"/>
      <c r="B1039" s="378"/>
      <c r="C1039" s="379"/>
      <c r="D1039" s="379"/>
      <c r="E1039" s="379"/>
      <c r="F1039" s="379"/>
      <c r="G1039" s="380"/>
    </row>
    <row r="1040" spans="1:7" s="373" customFormat="1" ht="13.8" x14ac:dyDescent="0.3">
      <c r="A1040" s="378"/>
      <c r="B1040" s="378"/>
      <c r="C1040" s="379"/>
      <c r="D1040" s="379"/>
      <c r="E1040" s="379"/>
      <c r="F1040" s="379"/>
      <c r="G1040" s="380"/>
    </row>
    <row r="1041" spans="1:7" s="373" customFormat="1" ht="13.8" x14ac:dyDescent="0.3">
      <c r="A1041" s="378"/>
      <c r="B1041" s="378"/>
      <c r="C1041" s="379"/>
      <c r="D1041" s="379"/>
      <c r="E1041" s="379"/>
      <c r="F1041" s="379"/>
      <c r="G1041" s="380"/>
    </row>
    <row r="1042" spans="1:7" s="373" customFormat="1" ht="13.8" x14ac:dyDescent="0.3">
      <c r="A1042" s="378"/>
      <c r="B1042" s="378"/>
      <c r="C1042" s="379"/>
      <c r="D1042" s="379"/>
      <c r="E1042" s="379"/>
      <c r="F1042" s="379"/>
      <c r="G1042" s="380"/>
    </row>
    <row r="1043" spans="1:7" s="373" customFormat="1" ht="13.8" x14ac:dyDescent="0.3">
      <c r="A1043" s="378"/>
      <c r="B1043" s="378"/>
      <c r="C1043" s="379"/>
      <c r="D1043" s="379"/>
      <c r="E1043" s="379"/>
      <c r="F1043" s="379"/>
      <c r="G1043" s="380"/>
    </row>
    <row r="1044" spans="1:7" s="373" customFormat="1" ht="13.8" x14ac:dyDescent="0.3">
      <c r="A1044" s="378"/>
      <c r="B1044" s="378"/>
      <c r="C1044" s="379"/>
      <c r="D1044" s="379"/>
      <c r="E1044" s="379"/>
      <c r="F1044" s="379"/>
      <c r="G1044" s="380"/>
    </row>
    <row r="1045" spans="1:7" s="373" customFormat="1" ht="13.8" x14ac:dyDescent="0.3">
      <c r="A1045" s="378"/>
      <c r="B1045" s="378"/>
      <c r="C1045" s="379"/>
      <c r="D1045" s="379"/>
      <c r="E1045" s="379"/>
      <c r="F1045" s="379"/>
      <c r="G1045" s="380"/>
    </row>
    <row r="1046" spans="1:7" s="373" customFormat="1" ht="13.8" x14ac:dyDescent="0.3">
      <c r="A1046" s="378"/>
      <c r="B1046" s="378"/>
      <c r="C1046" s="379"/>
      <c r="D1046" s="379"/>
      <c r="E1046" s="379"/>
      <c r="F1046" s="379"/>
      <c r="G1046" s="380"/>
    </row>
    <row r="1047" spans="1:7" s="373" customFormat="1" ht="13.8" x14ac:dyDescent="0.3">
      <c r="A1047" s="378"/>
      <c r="B1047" s="378"/>
      <c r="C1047" s="379"/>
      <c r="D1047" s="379"/>
      <c r="E1047" s="379"/>
      <c r="F1047" s="379"/>
      <c r="G1047" s="380"/>
    </row>
    <row r="1048" spans="1:7" s="373" customFormat="1" ht="13.8" x14ac:dyDescent="0.3">
      <c r="A1048" s="378"/>
      <c r="B1048" s="378"/>
      <c r="C1048" s="379"/>
      <c r="D1048" s="379"/>
      <c r="E1048" s="379"/>
      <c r="F1048" s="379"/>
      <c r="G1048" s="380"/>
    </row>
    <row r="1049" spans="1:7" s="373" customFormat="1" ht="13.8" x14ac:dyDescent="0.3">
      <c r="A1049" s="378"/>
      <c r="B1049" s="378"/>
      <c r="C1049" s="379"/>
      <c r="D1049" s="379"/>
      <c r="E1049" s="379"/>
      <c r="F1049" s="379"/>
      <c r="G1049" s="380"/>
    </row>
    <row r="1050" spans="1:7" s="373" customFormat="1" ht="13.8" x14ac:dyDescent="0.3">
      <c r="A1050" s="378"/>
      <c r="B1050" s="378"/>
      <c r="C1050" s="379"/>
      <c r="D1050" s="379"/>
      <c r="E1050" s="379"/>
      <c r="F1050" s="379"/>
      <c r="G1050" s="380"/>
    </row>
    <row r="1051" spans="1:7" s="373" customFormat="1" ht="13.8" x14ac:dyDescent="0.3">
      <c r="A1051" s="378"/>
      <c r="B1051" s="378"/>
      <c r="C1051" s="379"/>
      <c r="D1051" s="379"/>
      <c r="E1051" s="379"/>
      <c r="F1051" s="379"/>
      <c r="G1051" s="380"/>
    </row>
    <row r="1052" spans="1:7" s="373" customFormat="1" ht="13.8" x14ac:dyDescent="0.3">
      <c r="A1052" s="378"/>
      <c r="B1052" s="378"/>
      <c r="C1052" s="379"/>
      <c r="D1052" s="379"/>
      <c r="E1052" s="379"/>
      <c r="F1052" s="379"/>
      <c r="G1052" s="380"/>
    </row>
    <row r="1053" spans="1:7" s="373" customFormat="1" ht="13.8" x14ac:dyDescent="0.3">
      <c r="A1053" s="378"/>
      <c r="B1053" s="378"/>
      <c r="C1053" s="379"/>
      <c r="D1053" s="379"/>
      <c r="E1053" s="379"/>
      <c r="F1053" s="379"/>
      <c r="G1053" s="380"/>
    </row>
    <row r="1054" spans="1:7" s="373" customFormat="1" ht="13.8" x14ac:dyDescent="0.3">
      <c r="A1054" s="378"/>
      <c r="B1054" s="378"/>
      <c r="C1054" s="379"/>
      <c r="D1054" s="379"/>
      <c r="E1054" s="379"/>
      <c r="F1054" s="379"/>
      <c r="G1054" s="380"/>
    </row>
    <row r="1055" spans="1:7" s="373" customFormat="1" ht="13.8" x14ac:dyDescent="0.3">
      <c r="A1055" s="378"/>
      <c r="B1055" s="378"/>
      <c r="C1055" s="379"/>
      <c r="D1055" s="379"/>
      <c r="E1055" s="379"/>
      <c r="F1055" s="379"/>
      <c r="G1055" s="380"/>
    </row>
    <row r="1056" spans="1:7" s="373" customFormat="1" ht="13.8" x14ac:dyDescent="0.3">
      <c r="A1056" s="378"/>
      <c r="B1056" s="378"/>
      <c r="C1056" s="379"/>
      <c r="D1056" s="379"/>
      <c r="E1056" s="379"/>
      <c r="F1056" s="379"/>
      <c r="G1056" s="380"/>
    </row>
    <row r="1057" spans="1:7" s="373" customFormat="1" ht="13.8" x14ac:dyDescent="0.3">
      <c r="A1057" s="378"/>
      <c r="B1057" s="378"/>
      <c r="C1057" s="379"/>
      <c r="D1057" s="379"/>
      <c r="E1057" s="379"/>
      <c r="F1057" s="379"/>
      <c r="G1057" s="380"/>
    </row>
    <row r="1058" spans="1:7" s="373" customFormat="1" ht="13.8" x14ac:dyDescent="0.3">
      <c r="A1058" s="378"/>
      <c r="B1058" s="378"/>
      <c r="C1058" s="379"/>
      <c r="D1058" s="379"/>
      <c r="E1058" s="379"/>
      <c r="F1058" s="379"/>
      <c r="G1058" s="380"/>
    </row>
    <row r="1059" spans="1:7" s="373" customFormat="1" ht="13.8" x14ac:dyDescent="0.3">
      <c r="A1059" s="378"/>
      <c r="B1059" s="378"/>
      <c r="C1059" s="379"/>
      <c r="D1059" s="379"/>
      <c r="E1059" s="379"/>
      <c r="F1059" s="379"/>
      <c r="G1059" s="380"/>
    </row>
    <row r="1060" spans="1:7" s="373" customFormat="1" ht="13.8" x14ac:dyDescent="0.3">
      <c r="A1060" s="378"/>
      <c r="B1060" s="378"/>
      <c r="C1060" s="379"/>
      <c r="D1060" s="379"/>
      <c r="E1060" s="379"/>
      <c r="F1060" s="379"/>
      <c r="G1060" s="380"/>
    </row>
    <row r="1061" spans="1:7" s="373" customFormat="1" ht="13.8" x14ac:dyDescent="0.3">
      <c r="A1061" s="378"/>
      <c r="B1061" s="378"/>
      <c r="C1061" s="379"/>
      <c r="D1061" s="379"/>
      <c r="E1061" s="379"/>
      <c r="F1061" s="379"/>
      <c r="G1061" s="380"/>
    </row>
    <row r="1062" spans="1:7" s="373" customFormat="1" ht="13.8" x14ac:dyDescent="0.3">
      <c r="A1062" s="378"/>
      <c r="B1062" s="378"/>
      <c r="C1062" s="379"/>
      <c r="D1062" s="379"/>
      <c r="E1062" s="379"/>
      <c r="F1062" s="379"/>
      <c r="G1062" s="380"/>
    </row>
    <row r="1063" spans="1:7" s="373" customFormat="1" ht="13.8" x14ac:dyDescent="0.3">
      <c r="A1063" s="378"/>
      <c r="B1063" s="378"/>
      <c r="C1063" s="379"/>
      <c r="D1063" s="379"/>
      <c r="E1063" s="379"/>
      <c r="F1063" s="379"/>
      <c r="G1063" s="380"/>
    </row>
    <row r="1064" spans="1:7" s="373" customFormat="1" ht="13.8" x14ac:dyDescent="0.3">
      <c r="A1064" s="378"/>
      <c r="B1064" s="378"/>
      <c r="C1064" s="379"/>
      <c r="D1064" s="379"/>
      <c r="E1064" s="379"/>
      <c r="F1064" s="379"/>
      <c r="G1064" s="380"/>
    </row>
    <row r="1065" spans="1:7" s="373" customFormat="1" ht="13.8" x14ac:dyDescent="0.3">
      <c r="A1065" s="378"/>
      <c r="B1065" s="378"/>
      <c r="C1065" s="379"/>
      <c r="D1065" s="379"/>
      <c r="E1065" s="379"/>
      <c r="F1065" s="379"/>
      <c r="G1065" s="380"/>
    </row>
    <row r="1066" spans="1:7" s="373" customFormat="1" ht="13.8" x14ac:dyDescent="0.3">
      <c r="A1066" s="378"/>
      <c r="B1066" s="378"/>
      <c r="C1066" s="379"/>
      <c r="D1066" s="379"/>
      <c r="E1066" s="379"/>
      <c r="F1066" s="379"/>
      <c r="G1066" s="380"/>
    </row>
    <row r="1067" spans="1:7" s="373" customFormat="1" ht="13.8" x14ac:dyDescent="0.3">
      <c r="A1067" s="378"/>
      <c r="B1067" s="378"/>
      <c r="C1067" s="379"/>
      <c r="D1067" s="379"/>
      <c r="E1067" s="379"/>
      <c r="F1067" s="379"/>
      <c r="G1067" s="380"/>
    </row>
    <row r="1068" spans="1:7" s="373" customFormat="1" ht="13.8" x14ac:dyDescent="0.3">
      <c r="A1068" s="378"/>
      <c r="B1068" s="378"/>
      <c r="C1068" s="379"/>
      <c r="D1068" s="379"/>
      <c r="E1068" s="379"/>
      <c r="F1068" s="379"/>
      <c r="G1068" s="380"/>
    </row>
    <row r="1069" spans="1:7" s="373" customFormat="1" ht="13.8" x14ac:dyDescent="0.3">
      <c r="A1069" s="378"/>
      <c r="B1069" s="378"/>
      <c r="C1069" s="379"/>
      <c r="D1069" s="379"/>
      <c r="E1069" s="379"/>
      <c r="F1069" s="379"/>
      <c r="G1069" s="380"/>
    </row>
    <row r="1070" spans="1:7" s="373" customFormat="1" ht="13.8" x14ac:dyDescent="0.3">
      <c r="A1070" s="378"/>
      <c r="B1070" s="378"/>
      <c r="C1070" s="379"/>
      <c r="D1070" s="379"/>
      <c r="E1070" s="379"/>
      <c r="F1070" s="379"/>
      <c r="G1070" s="380"/>
    </row>
    <row r="1071" spans="1:7" s="373" customFormat="1" ht="13.8" x14ac:dyDescent="0.3">
      <c r="A1071" s="378"/>
      <c r="B1071" s="378"/>
      <c r="C1071" s="379"/>
      <c r="D1071" s="379"/>
      <c r="E1071" s="379"/>
      <c r="F1071" s="379"/>
      <c r="G1071" s="380"/>
    </row>
    <row r="1072" spans="1:7" s="373" customFormat="1" ht="13.8" x14ac:dyDescent="0.3">
      <c r="A1072" s="378"/>
      <c r="B1072" s="378"/>
      <c r="C1072" s="379"/>
      <c r="D1072" s="379"/>
      <c r="E1072" s="379"/>
      <c r="F1072" s="379"/>
      <c r="G1072" s="380"/>
    </row>
    <row r="1073" spans="1:7" s="373" customFormat="1" ht="13.8" x14ac:dyDescent="0.3">
      <c r="A1073" s="378"/>
      <c r="B1073" s="378"/>
      <c r="C1073" s="379"/>
      <c r="D1073" s="379"/>
      <c r="E1073" s="379"/>
      <c r="F1073" s="379"/>
      <c r="G1073" s="380"/>
    </row>
    <row r="1074" spans="1:7" s="373" customFormat="1" ht="13.8" x14ac:dyDescent="0.3">
      <c r="A1074" s="378"/>
      <c r="B1074" s="378"/>
      <c r="C1074" s="379"/>
      <c r="D1074" s="379"/>
      <c r="E1074" s="379"/>
      <c r="F1074" s="379"/>
      <c r="G1074" s="380"/>
    </row>
    <row r="1075" spans="1:7" s="373" customFormat="1" ht="13.8" x14ac:dyDescent="0.3">
      <c r="A1075" s="378"/>
      <c r="B1075" s="378"/>
      <c r="C1075" s="379"/>
      <c r="D1075" s="379"/>
      <c r="E1075" s="379"/>
      <c r="F1075" s="379"/>
      <c r="G1075" s="380"/>
    </row>
    <row r="1076" spans="1:7" s="373" customFormat="1" ht="13.8" x14ac:dyDescent="0.3">
      <c r="A1076" s="378"/>
      <c r="B1076" s="378"/>
      <c r="C1076" s="379"/>
      <c r="D1076" s="379"/>
      <c r="E1076" s="379"/>
      <c r="F1076" s="379"/>
      <c r="G1076" s="380"/>
    </row>
    <row r="1077" spans="1:7" s="373" customFormat="1" ht="13.8" x14ac:dyDescent="0.3">
      <c r="A1077" s="378"/>
      <c r="B1077" s="378"/>
      <c r="C1077" s="379"/>
      <c r="D1077" s="379"/>
      <c r="E1077" s="379"/>
      <c r="F1077" s="379"/>
      <c r="G1077" s="380"/>
    </row>
    <row r="1078" spans="1:7" s="373" customFormat="1" ht="13.8" x14ac:dyDescent="0.3">
      <c r="A1078" s="378"/>
      <c r="B1078" s="378"/>
      <c r="C1078" s="379"/>
      <c r="D1078" s="379"/>
      <c r="E1078" s="379"/>
      <c r="F1078" s="379"/>
      <c r="G1078" s="380"/>
    </row>
    <row r="1079" spans="1:7" s="373" customFormat="1" ht="13.8" x14ac:dyDescent="0.3">
      <c r="A1079" s="378"/>
      <c r="B1079" s="378"/>
      <c r="C1079" s="379"/>
      <c r="D1079" s="379"/>
      <c r="E1079" s="379"/>
      <c r="F1079" s="379"/>
      <c r="G1079" s="380"/>
    </row>
    <row r="1080" spans="1:7" s="373" customFormat="1" ht="13.8" x14ac:dyDescent="0.3">
      <c r="A1080" s="378"/>
      <c r="B1080" s="378"/>
      <c r="C1080" s="379"/>
      <c r="D1080" s="379"/>
      <c r="E1080" s="379"/>
      <c r="F1080" s="379"/>
      <c r="G1080" s="380"/>
    </row>
    <row r="1081" spans="1:7" s="373" customFormat="1" ht="13.8" x14ac:dyDescent="0.3">
      <c r="A1081" s="378"/>
      <c r="B1081" s="378"/>
      <c r="C1081" s="379"/>
      <c r="D1081" s="379"/>
      <c r="E1081" s="379"/>
      <c r="F1081" s="379"/>
      <c r="G1081" s="380"/>
    </row>
    <row r="1082" spans="1:7" s="373" customFormat="1" ht="13.8" x14ac:dyDescent="0.3">
      <c r="A1082" s="378"/>
      <c r="B1082" s="378"/>
      <c r="C1082" s="379"/>
      <c r="D1082" s="379"/>
      <c r="E1082" s="379"/>
      <c r="F1082" s="379"/>
      <c r="G1082" s="380"/>
    </row>
    <row r="1083" spans="1:7" s="373" customFormat="1" ht="13.8" x14ac:dyDescent="0.3">
      <c r="A1083" s="378"/>
      <c r="B1083" s="378"/>
      <c r="C1083" s="379"/>
      <c r="D1083" s="379"/>
      <c r="E1083" s="379"/>
      <c r="F1083" s="379"/>
      <c r="G1083" s="380"/>
    </row>
    <row r="1084" spans="1:7" s="373" customFormat="1" ht="13.8" x14ac:dyDescent="0.3">
      <c r="A1084" s="378"/>
      <c r="B1084" s="378"/>
      <c r="C1084" s="379"/>
      <c r="D1084" s="379"/>
      <c r="E1084" s="379"/>
      <c r="F1084" s="379"/>
      <c r="G1084" s="380"/>
    </row>
    <row r="1085" spans="1:7" s="373" customFormat="1" ht="13.8" x14ac:dyDescent="0.3">
      <c r="A1085" s="378"/>
      <c r="B1085" s="378"/>
      <c r="C1085" s="379"/>
      <c r="D1085" s="379"/>
      <c r="E1085" s="379"/>
      <c r="F1085" s="379"/>
      <c r="G1085" s="380"/>
    </row>
    <row r="1086" spans="1:7" s="373" customFormat="1" ht="13.8" x14ac:dyDescent="0.3">
      <c r="A1086" s="378"/>
      <c r="B1086" s="378"/>
      <c r="C1086" s="379"/>
      <c r="D1086" s="379"/>
      <c r="E1086" s="379"/>
      <c r="F1086" s="379"/>
      <c r="G1086" s="380"/>
    </row>
    <row r="1087" spans="1:7" s="373" customFormat="1" ht="13.8" x14ac:dyDescent="0.3">
      <c r="A1087" s="378"/>
      <c r="B1087" s="378"/>
      <c r="C1087" s="379"/>
      <c r="D1087" s="379"/>
      <c r="E1087" s="379"/>
      <c r="F1087" s="379"/>
      <c r="G1087" s="380"/>
    </row>
    <row r="1088" spans="1:7" s="373" customFormat="1" ht="13.8" x14ac:dyDescent="0.3">
      <c r="A1088" s="378"/>
      <c r="B1088" s="378"/>
      <c r="C1088" s="379"/>
      <c r="D1088" s="379"/>
      <c r="E1088" s="379"/>
      <c r="F1088" s="379"/>
      <c r="G1088" s="380"/>
    </row>
    <row r="1089" spans="1:7" s="373" customFormat="1" ht="13.8" x14ac:dyDescent="0.3">
      <c r="A1089" s="378"/>
      <c r="B1089" s="378"/>
      <c r="C1089" s="379"/>
      <c r="D1089" s="379"/>
      <c r="E1089" s="379"/>
      <c r="F1089" s="379"/>
      <c r="G1089" s="380"/>
    </row>
    <row r="1090" spans="1:7" s="373" customFormat="1" ht="13.8" x14ac:dyDescent="0.3">
      <c r="A1090" s="378"/>
      <c r="B1090" s="378"/>
      <c r="C1090" s="379"/>
      <c r="D1090" s="379"/>
      <c r="E1090" s="379"/>
      <c r="F1090" s="379"/>
      <c r="G1090" s="380"/>
    </row>
    <row r="1091" spans="1:7" s="373" customFormat="1" ht="13.8" x14ac:dyDescent="0.3">
      <c r="A1091" s="378"/>
      <c r="B1091" s="378"/>
      <c r="C1091" s="379"/>
      <c r="D1091" s="379"/>
      <c r="E1091" s="379"/>
      <c r="F1091" s="379"/>
      <c r="G1091" s="380"/>
    </row>
    <row r="1092" spans="1:7" s="373" customFormat="1" ht="13.8" x14ac:dyDescent="0.3">
      <c r="A1092" s="378"/>
      <c r="B1092" s="378"/>
      <c r="C1092" s="379"/>
      <c r="D1092" s="379"/>
      <c r="E1092" s="379"/>
      <c r="F1092" s="379"/>
      <c r="G1092" s="380"/>
    </row>
    <row r="1093" spans="1:7" s="373" customFormat="1" ht="13.8" x14ac:dyDescent="0.3">
      <c r="A1093" s="378"/>
      <c r="B1093" s="378"/>
      <c r="C1093" s="379"/>
      <c r="D1093" s="379"/>
      <c r="E1093" s="379"/>
      <c r="F1093" s="379"/>
      <c r="G1093" s="380"/>
    </row>
    <row r="1094" spans="1:7" s="373" customFormat="1" ht="13.8" x14ac:dyDescent="0.3">
      <c r="A1094" s="378"/>
      <c r="B1094" s="378"/>
      <c r="C1094" s="379"/>
      <c r="D1094" s="379"/>
      <c r="E1094" s="379"/>
      <c r="F1094" s="379"/>
      <c r="G1094" s="380"/>
    </row>
    <row r="1095" spans="1:7" s="373" customFormat="1" ht="13.8" x14ac:dyDescent="0.3">
      <c r="A1095" s="378"/>
      <c r="B1095" s="378"/>
      <c r="C1095" s="379"/>
      <c r="D1095" s="379"/>
      <c r="E1095" s="379"/>
      <c r="F1095" s="379"/>
      <c r="G1095" s="380"/>
    </row>
    <row r="1096" spans="1:7" s="373" customFormat="1" ht="13.8" x14ac:dyDescent="0.3">
      <c r="A1096" s="378"/>
      <c r="B1096" s="378"/>
      <c r="C1096" s="379"/>
      <c r="D1096" s="379"/>
      <c r="E1096" s="379"/>
      <c r="F1096" s="379"/>
      <c r="G1096" s="380"/>
    </row>
    <row r="1097" spans="1:7" s="373" customFormat="1" ht="13.8" x14ac:dyDescent="0.3">
      <c r="A1097" s="378"/>
      <c r="B1097" s="378"/>
      <c r="C1097" s="379"/>
      <c r="D1097" s="379"/>
      <c r="E1097" s="379"/>
      <c r="F1097" s="379"/>
      <c r="G1097" s="380"/>
    </row>
    <row r="1098" spans="1:7" s="373" customFormat="1" ht="13.8" x14ac:dyDescent="0.3">
      <c r="A1098" s="378"/>
      <c r="B1098" s="378"/>
      <c r="C1098" s="379"/>
      <c r="D1098" s="379"/>
      <c r="E1098" s="379"/>
      <c r="F1098" s="379"/>
      <c r="G1098" s="380"/>
    </row>
    <row r="1099" spans="1:7" s="373" customFormat="1" ht="13.8" x14ac:dyDescent="0.3">
      <c r="A1099" s="378"/>
      <c r="B1099" s="378"/>
      <c r="C1099" s="379"/>
      <c r="D1099" s="379"/>
      <c r="E1099" s="379"/>
      <c r="F1099" s="379"/>
      <c r="G1099" s="380"/>
    </row>
    <row r="1100" spans="1:7" s="373" customFormat="1" ht="13.8" x14ac:dyDescent="0.3">
      <c r="A1100" s="378"/>
      <c r="B1100" s="378"/>
      <c r="C1100" s="379"/>
      <c r="D1100" s="379"/>
      <c r="E1100" s="379"/>
      <c r="F1100" s="379"/>
      <c r="G1100" s="380"/>
    </row>
    <row r="1101" spans="1:7" s="373" customFormat="1" ht="13.8" x14ac:dyDescent="0.3">
      <c r="A1101" s="378"/>
      <c r="B1101" s="378"/>
      <c r="C1101" s="379"/>
      <c r="D1101" s="379"/>
      <c r="E1101" s="379"/>
      <c r="F1101" s="379"/>
      <c r="G1101" s="380"/>
    </row>
    <row r="1102" spans="1:7" s="373" customFormat="1" ht="13.8" x14ac:dyDescent="0.3">
      <c r="A1102" s="378"/>
      <c r="B1102" s="378"/>
      <c r="C1102" s="379"/>
      <c r="D1102" s="379"/>
      <c r="E1102" s="379"/>
      <c r="F1102" s="379"/>
      <c r="G1102" s="380"/>
    </row>
    <row r="1103" spans="1:7" s="373" customFormat="1" ht="13.8" x14ac:dyDescent="0.3">
      <c r="A1103" s="378"/>
      <c r="B1103" s="378"/>
      <c r="C1103" s="379"/>
      <c r="D1103" s="379"/>
      <c r="E1103" s="379"/>
      <c r="F1103" s="379"/>
      <c r="G1103" s="380"/>
    </row>
    <row r="1104" spans="1:7" s="373" customFormat="1" ht="13.8" x14ac:dyDescent="0.3">
      <c r="A1104" s="378"/>
      <c r="B1104" s="378"/>
      <c r="C1104" s="379"/>
      <c r="D1104" s="379"/>
      <c r="E1104" s="379"/>
      <c r="F1104" s="379"/>
      <c r="G1104" s="380"/>
    </row>
    <row r="1105" spans="1:7" s="373" customFormat="1" ht="13.8" x14ac:dyDescent="0.3">
      <c r="A1105" s="378"/>
      <c r="B1105" s="378"/>
      <c r="C1105" s="379"/>
      <c r="D1105" s="379"/>
      <c r="E1105" s="379"/>
      <c r="F1105" s="379"/>
      <c r="G1105" s="380"/>
    </row>
    <row r="1106" spans="1:7" s="373" customFormat="1" ht="13.8" x14ac:dyDescent="0.3">
      <c r="A1106" s="378"/>
      <c r="B1106" s="378"/>
      <c r="C1106" s="379"/>
      <c r="D1106" s="379"/>
      <c r="E1106" s="379"/>
      <c r="F1106" s="379"/>
      <c r="G1106" s="380"/>
    </row>
    <row r="1107" spans="1:7" s="373" customFormat="1" ht="13.8" x14ac:dyDescent="0.3">
      <c r="A1107" s="378"/>
      <c r="B1107" s="378"/>
      <c r="C1107" s="379"/>
      <c r="D1107" s="379"/>
      <c r="E1107" s="379"/>
      <c r="F1107" s="379"/>
      <c r="G1107" s="380"/>
    </row>
    <row r="1108" spans="1:7" s="373" customFormat="1" ht="13.8" x14ac:dyDescent="0.3">
      <c r="A1108" s="378"/>
      <c r="B1108" s="378"/>
      <c r="C1108" s="379"/>
      <c r="D1108" s="379"/>
      <c r="E1108" s="379"/>
      <c r="F1108" s="379"/>
      <c r="G1108" s="380"/>
    </row>
    <row r="1109" spans="1:7" s="373" customFormat="1" ht="13.8" x14ac:dyDescent="0.3">
      <c r="A1109" s="378"/>
      <c r="B1109" s="378"/>
      <c r="C1109" s="379"/>
      <c r="D1109" s="379"/>
      <c r="E1109" s="379"/>
      <c r="F1109" s="379"/>
      <c r="G1109" s="380"/>
    </row>
    <row r="1110" spans="1:7" s="373" customFormat="1" ht="13.8" x14ac:dyDescent="0.3">
      <c r="A1110" s="378"/>
      <c r="B1110" s="378"/>
      <c r="C1110" s="379"/>
      <c r="D1110" s="379"/>
      <c r="E1110" s="379"/>
      <c r="F1110" s="379"/>
      <c r="G1110" s="380"/>
    </row>
    <row r="1111" spans="1:7" s="373" customFormat="1" ht="13.8" x14ac:dyDescent="0.3">
      <c r="A1111" s="378"/>
      <c r="B1111" s="378"/>
      <c r="C1111" s="379"/>
      <c r="D1111" s="379"/>
      <c r="E1111" s="379"/>
      <c r="F1111" s="379"/>
      <c r="G1111" s="380"/>
    </row>
    <row r="1112" spans="1:7" s="373" customFormat="1" ht="13.8" x14ac:dyDescent="0.3">
      <c r="A1112" s="378"/>
      <c r="B1112" s="378"/>
      <c r="C1112" s="379"/>
      <c r="D1112" s="379"/>
      <c r="E1112" s="379"/>
      <c r="F1112" s="379"/>
      <c r="G1112" s="380"/>
    </row>
    <row r="1113" spans="1:7" s="373" customFormat="1" ht="13.8" x14ac:dyDescent="0.3">
      <c r="A1113" s="378"/>
      <c r="B1113" s="378"/>
      <c r="C1113" s="379"/>
      <c r="D1113" s="379"/>
      <c r="E1113" s="379"/>
      <c r="F1113" s="379"/>
      <c r="G1113" s="380"/>
    </row>
    <row r="1114" spans="1:7" s="373" customFormat="1" ht="13.8" x14ac:dyDescent="0.3">
      <c r="A1114" s="378"/>
      <c r="B1114" s="378"/>
      <c r="C1114" s="379"/>
      <c r="D1114" s="379"/>
      <c r="E1114" s="379"/>
      <c r="F1114" s="379"/>
      <c r="G1114" s="380"/>
    </row>
    <row r="1115" spans="1:7" s="373" customFormat="1" ht="13.8" x14ac:dyDescent="0.3">
      <c r="A1115" s="378"/>
      <c r="B1115" s="378"/>
      <c r="C1115" s="379"/>
      <c r="D1115" s="379"/>
      <c r="E1115" s="379"/>
      <c r="F1115" s="379"/>
      <c r="G1115" s="380"/>
    </row>
    <row r="1116" spans="1:7" s="373" customFormat="1" ht="13.8" x14ac:dyDescent="0.3">
      <c r="A1116" s="378"/>
      <c r="B1116" s="378"/>
      <c r="C1116" s="379"/>
      <c r="D1116" s="379"/>
      <c r="E1116" s="379"/>
      <c r="F1116" s="379"/>
      <c r="G1116" s="380"/>
    </row>
    <row r="1117" spans="1:7" s="373" customFormat="1" ht="13.8" x14ac:dyDescent="0.3">
      <c r="A1117" s="378"/>
      <c r="B1117" s="378"/>
      <c r="C1117" s="379"/>
      <c r="D1117" s="379"/>
      <c r="E1117" s="379"/>
      <c r="F1117" s="379"/>
      <c r="G1117" s="380"/>
    </row>
    <row r="1118" spans="1:7" s="373" customFormat="1" ht="13.8" x14ac:dyDescent="0.3">
      <c r="A1118" s="378"/>
      <c r="B1118" s="378"/>
      <c r="C1118" s="379"/>
      <c r="D1118" s="379"/>
      <c r="E1118" s="379"/>
      <c r="F1118" s="379"/>
      <c r="G1118" s="380"/>
    </row>
    <row r="1119" spans="1:7" s="373" customFormat="1" ht="13.8" x14ac:dyDescent="0.3">
      <c r="A1119" s="378"/>
      <c r="B1119" s="378"/>
      <c r="C1119" s="379"/>
      <c r="D1119" s="379"/>
      <c r="E1119" s="379"/>
      <c r="F1119" s="379"/>
      <c r="G1119" s="380"/>
    </row>
    <row r="1120" spans="1:7" s="373" customFormat="1" ht="13.8" x14ac:dyDescent="0.3">
      <c r="A1120" s="378"/>
      <c r="B1120" s="378"/>
      <c r="C1120" s="379"/>
      <c r="D1120" s="379"/>
      <c r="E1120" s="379"/>
      <c r="F1120" s="379"/>
      <c r="G1120" s="380"/>
    </row>
    <row r="1121" spans="1:7" s="373" customFormat="1" ht="13.8" x14ac:dyDescent="0.3">
      <c r="A1121" s="378"/>
      <c r="B1121" s="378"/>
      <c r="C1121" s="379"/>
      <c r="D1121" s="379"/>
      <c r="E1121" s="379"/>
      <c r="F1121" s="379"/>
      <c r="G1121" s="380"/>
    </row>
    <row r="1122" spans="1:7" s="373" customFormat="1" ht="13.8" x14ac:dyDescent="0.3">
      <c r="A1122" s="378"/>
      <c r="B1122" s="378"/>
      <c r="C1122" s="379"/>
      <c r="D1122" s="379"/>
      <c r="E1122" s="379"/>
      <c r="F1122" s="379"/>
      <c r="G1122" s="380"/>
    </row>
    <row r="1123" spans="1:7" s="373" customFormat="1" ht="13.8" x14ac:dyDescent="0.3">
      <c r="A1123" s="378"/>
      <c r="B1123" s="378"/>
      <c r="C1123" s="379"/>
      <c r="D1123" s="379"/>
      <c r="E1123" s="379"/>
      <c r="F1123" s="379"/>
      <c r="G1123" s="380"/>
    </row>
    <row r="1124" spans="1:7" s="373" customFormat="1" ht="13.8" x14ac:dyDescent="0.3">
      <c r="A1124" s="378"/>
      <c r="B1124" s="378"/>
      <c r="C1124" s="379"/>
      <c r="D1124" s="379"/>
      <c r="E1124" s="379"/>
      <c r="F1124" s="379"/>
      <c r="G1124" s="380"/>
    </row>
    <row r="1125" spans="1:7" s="373" customFormat="1" ht="13.8" x14ac:dyDescent="0.3">
      <c r="A1125" s="378"/>
      <c r="B1125" s="378"/>
      <c r="C1125" s="379"/>
      <c r="D1125" s="379"/>
      <c r="E1125" s="379"/>
      <c r="F1125" s="379"/>
      <c r="G1125" s="380"/>
    </row>
    <row r="1126" spans="1:7" s="373" customFormat="1" ht="13.8" x14ac:dyDescent="0.3">
      <c r="A1126" s="378"/>
      <c r="B1126" s="378"/>
      <c r="C1126" s="379"/>
      <c r="D1126" s="379"/>
      <c r="E1126" s="379"/>
      <c r="F1126" s="379"/>
      <c r="G1126" s="380"/>
    </row>
    <row r="1127" spans="1:7" s="373" customFormat="1" ht="13.8" x14ac:dyDescent="0.3">
      <c r="A1127" s="378"/>
      <c r="B1127" s="378"/>
      <c r="C1127" s="379"/>
      <c r="D1127" s="379"/>
      <c r="E1127" s="379"/>
      <c r="F1127" s="379"/>
      <c r="G1127" s="380"/>
    </row>
    <row r="1128" spans="1:7" s="373" customFormat="1" ht="13.8" x14ac:dyDescent="0.3">
      <c r="A1128" s="378"/>
      <c r="B1128" s="378"/>
      <c r="C1128" s="379"/>
      <c r="D1128" s="379"/>
      <c r="E1128" s="379"/>
      <c r="F1128" s="379"/>
      <c r="G1128" s="380"/>
    </row>
    <row r="1129" spans="1:7" s="373" customFormat="1" ht="13.8" x14ac:dyDescent="0.3">
      <c r="A1129" s="378"/>
      <c r="B1129" s="378"/>
      <c r="C1129" s="379"/>
      <c r="D1129" s="379"/>
      <c r="E1129" s="379"/>
      <c r="F1129" s="379"/>
      <c r="G1129" s="380"/>
    </row>
    <row r="1130" spans="1:7" s="373" customFormat="1" ht="13.8" x14ac:dyDescent="0.3">
      <c r="A1130" s="378"/>
      <c r="B1130" s="378"/>
      <c r="C1130" s="379"/>
      <c r="D1130" s="379"/>
      <c r="E1130" s="379"/>
      <c r="F1130" s="379"/>
      <c r="G1130" s="380"/>
    </row>
    <row r="1131" spans="1:7" s="373" customFormat="1" ht="13.8" x14ac:dyDescent="0.3">
      <c r="A1131" s="378"/>
      <c r="B1131" s="378"/>
      <c r="C1131" s="379"/>
      <c r="D1131" s="379"/>
      <c r="E1131" s="379"/>
      <c r="F1131" s="379"/>
      <c r="G1131" s="380"/>
    </row>
    <row r="1132" spans="1:7" s="373" customFormat="1" ht="13.8" x14ac:dyDescent="0.3">
      <c r="A1132" s="378"/>
      <c r="B1132" s="378"/>
      <c r="C1132" s="379"/>
      <c r="D1132" s="379"/>
      <c r="E1132" s="379"/>
      <c r="F1132" s="379"/>
      <c r="G1132" s="380"/>
    </row>
    <row r="1133" spans="1:7" s="373" customFormat="1" ht="13.8" x14ac:dyDescent="0.3">
      <c r="A1133" s="378"/>
      <c r="B1133" s="378"/>
      <c r="C1133" s="379"/>
      <c r="D1133" s="379"/>
      <c r="E1133" s="379"/>
      <c r="F1133" s="379"/>
      <c r="G1133" s="380"/>
    </row>
    <row r="1134" spans="1:7" s="373" customFormat="1" ht="13.8" x14ac:dyDescent="0.3">
      <c r="A1134" s="378"/>
      <c r="B1134" s="378"/>
      <c r="C1134" s="379"/>
      <c r="D1134" s="379"/>
      <c r="E1134" s="379"/>
      <c r="F1134" s="379"/>
      <c r="G1134" s="380"/>
    </row>
    <row r="1135" spans="1:7" s="373" customFormat="1" ht="13.8" x14ac:dyDescent="0.3">
      <c r="A1135" s="378"/>
      <c r="B1135" s="378"/>
      <c r="C1135" s="379"/>
      <c r="D1135" s="379"/>
      <c r="E1135" s="379"/>
      <c r="F1135" s="379"/>
      <c r="G1135" s="380"/>
    </row>
    <row r="1136" spans="1:7" s="373" customFormat="1" ht="13.8" x14ac:dyDescent="0.3">
      <c r="A1136" s="378"/>
      <c r="B1136" s="378"/>
      <c r="C1136" s="379"/>
      <c r="D1136" s="379"/>
      <c r="E1136" s="379"/>
      <c r="F1136" s="379"/>
      <c r="G1136" s="380"/>
    </row>
    <row r="1137" spans="1:7" s="373" customFormat="1" ht="13.8" x14ac:dyDescent="0.3">
      <c r="A1137" s="378"/>
      <c r="B1137" s="378"/>
      <c r="C1137" s="379"/>
      <c r="D1137" s="379"/>
      <c r="E1137" s="379"/>
      <c r="F1137" s="379"/>
      <c r="G1137" s="380"/>
    </row>
    <row r="1138" spans="1:7" s="373" customFormat="1" ht="13.8" x14ac:dyDescent="0.3">
      <c r="A1138" s="378"/>
      <c r="B1138" s="378"/>
      <c r="C1138" s="379"/>
      <c r="D1138" s="379"/>
      <c r="E1138" s="379"/>
      <c r="F1138" s="379"/>
      <c r="G1138" s="380"/>
    </row>
    <row r="1139" spans="1:7" s="373" customFormat="1" ht="13.8" x14ac:dyDescent="0.3">
      <c r="A1139" s="378"/>
      <c r="B1139" s="378"/>
      <c r="C1139" s="379"/>
      <c r="D1139" s="379"/>
      <c r="E1139" s="379"/>
      <c r="F1139" s="379"/>
      <c r="G1139" s="380"/>
    </row>
    <row r="1140" spans="1:7" s="373" customFormat="1" ht="13.8" x14ac:dyDescent="0.3">
      <c r="A1140" s="378"/>
      <c r="B1140" s="378"/>
      <c r="C1140" s="379"/>
      <c r="D1140" s="379"/>
      <c r="E1140" s="379"/>
      <c r="F1140" s="379"/>
      <c r="G1140" s="380"/>
    </row>
    <row r="1141" spans="1:7" s="373" customFormat="1" ht="13.8" x14ac:dyDescent="0.3">
      <c r="A1141" s="378"/>
      <c r="B1141" s="378"/>
      <c r="C1141" s="379"/>
      <c r="D1141" s="379"/>
      <c r="E1141" s="379"/>
      <c r="F1141" s="379"/>
      <c r="G1141" s="380"/>
    </row>
    <row r="1142" spans="1:7" s="373" customFormat="1" ht="13.8" x14ac:dyDescent="0.3">
      <c r="A1142" s="378"/>
      <c r="B1142" s="378"/>
      <c r="C1142" s="379"/>
      <c r="D1142" s="379"/>
      <c r="E1142" s="379"/>
      <c r="F1142" s="379"/>
      <c r="G1142" s="380"/>
    </row>
    <row r="1143" spans="1:7" s="373" customFormat="1" ht="13.8" x14ac:dyDescent="0.3">
      <c r="A1143" s="378"/>
      <c r="B1143" s="378"/>
      <c r="C1143" s="379"/>
      <c r="D1143" s="379"/>
      <c r="E1143" s="379"/>
      <c r="F1143" s="379"/>
      <c r="G1143" s="380"/>
    </row>
    <row r="1144" spans="1:7" s="373" customFormat="1" ht="13.8" x14ac:dyDescent="0.3">
      <c r="A1144" s="378"/>
      <c r="B1144" s="378"/>
      <c r="C1144" s="379"/>
      <c r="D1144" s="379"/>
      <c r="E1144" s="379"/>
      <c r="F1144" s="379"/>
      <c r="G1144" s="380"/>
    </row>
    <row r="1145" spans="1:7" s="373" customFormat="1" ht="13.8" x14ac:dyDescent="0.3">
      <c r="A1145" s="378"/>
      <c r="B1145" s="378"/>
      <c r="C1145" s="379"/>
      <c r="D1145" s="379"/>
      <c r="E1145" s="379"/>
      <c r="F1145" s="379"/>
      <c r="G1145" s="380"/>
    </row>
    <row r="1146" spans="1:7" s="373" customFormat="1" ht="13.8" x14ac:dyDescent="0.3">
      <c r="A1146" s="378"/>
      <c r="B1146" s="378"/>
      <c r="C1146" s="379"/>
      <c r="D1146" s="379"/>
      <c r="E1146" s="379"/>
      <c r="F1146" s="379"/>
      <c r="G1146" s="380"/>
    </row>
    <row r="1147" spans="1:7" s="373" customFormat="1" ht="13.8" x14ac:dyDescent="0.3">
      <c r="A1147" s="378"/>
      <c r="B1147" s="378"/>
      <c r="C1147" s="379"/>
      <c r="D1147" s="379"/>
      <c r="E1147" s="379"/>
      <c r="F1147" s="379"/>
      <c r="G1147" s="380"/>
    </row>
    <row r="1148" spans="1:7" s="373" customFormat="1" ht="13.8" x14ac:dyDescent="0.3">
      <c r="A1148" s="378"/>
      <c r="B1148" s="378"/>
      <c r="C1148" s="379"/>
      <c r="D1148" s="379"/>
      <c r="E1148" s="379"/>
      <c r="F1148" s="379"/>
      <c r="G1148" s="380"/>
    </row>
    <row r="1149" spans="1:7" s="373" customFormat="1" ht="13.8" x14ac:dyDescent="0.3">
      <c r="A1149" s="378"/>
      <c r="B1149" s="378"/>
      <c r="C1149" s="379"/>
      <c r="D1149" s="379"/>
      <c r="E1149" s="379"/>
      <c r="F1149" s="379"/>
      <c r="G1149" s="380"/>
    </row>
    <row r="1150" spans="1:7" s="373" customFormat="1" ht="13.8" x14ac:dyDescent="0.3">
      <c r="A1150" s="378"/>
      <c r="B1150" s="378"/>
      <c r="C1150" s="379"/>
      <c r="D1150" s="379"/>
      <c r="E1150" s="379"/>
      <c r="F1150" s="379"/>
      <c r="G1150" s="380"/>
    </row>
    <row r="1151" spans="1:7" s="373" customFormat="1" ht="13.8" x14ac:dyDescent="0.3">
      <c r="A1151" s="378"/>
      <c r="B1151" s="378"/>
      <c r="C1151" s="379"/>
      <c r="D1151" s="379"/>
      <c r="E1151" s="379"/>
      <c r="F1151" s="379"/>
      <c r="G1151" s="380"/>
    </row>
    <row r="1152" spans="1:7" s="373" customFormat="1" ht="13.8" x14ac:dyDescent="0.3">
      <c r="A1152" s="378"/>
      <c r="B1152" s="378"/>
      <c r="C1152" s="379"/>
      <c r="D1152" s="379"/>
      <c r="E1152" s="379"/>
      <c r="F1152" s="379"/>
      <c r="G1152" s="380"/>
    </row>
    <row r="1153" spans="1:7" s="373" customFormat="1" ht="13.8" x14ac:dyDescent="0.3">
      <c r="A1153" s="378"/>
      <c r="B1153" s="378"/>
      <c r="C1153" s="379"/>
      <c r="D1153" s="379"/>
      <c r="E1153" s="379"/>
      <c r="F1153" s="379"/>
      <c r="G1153" s="380"/>
    </row>
    <row r="1154" spans="1:7" s="373" customFormat="1" ht="13.8" x14ac:dyDescent="0.3">
      <c r="A1154" s="378"/>
      <c r="B1154" s="378"/>
      <c r="C1154" s="379"/>
      <c r="D1154" s="379"/>
      <c r="E1154" s="379"/>
      <c r="F1154" s="379"/>
      <c r="G1154" s="380"/>
    </row>
    <row r="1155" spans="1:7" s="373" customFormat="1" ht="13.8" x14ac:dyDescent="0.3">
      <c r="A1155" s="378"/>
      <c r="B1155" s="378"/>
      <c r="C1155" s="379"/>
      <c r="D1155" s="379"/>
      <c r="E1155" s="379"/>
      <c r="F1155" s="379"/>
      <c r="G1155" s="380"/>
    </row>
    <row r="1156" spans="1:7" s="373" customFormat="1" ht="13.8" x14ac:dyDescent="0.3">
      <c r="A1156" s="378"/>
      <c r="B1156" s="378"/>
      <c r="C1156" s="379"/>
      <c r="D1156" s="379"/>
      <c r="E1156" s="379"/>
      <c r="F1156" s="379"/>
      <c r="G1156" s="380"/>
    </row>
    <row r="1157" spans="1:7" s="373" customFormat="1" ht="13.8" x14ac:dyDescent="0.3">
      <c r="A1157" s="378"/>
      <c r="B1157" s="378"/>
      <c r="C1157" s="379"/>
      <c r="D1157" s="379"/>
      <c r="E1157" s="379"/>
      <c r="F1157" s="379"/>
      <c r="G1157" s="380"/>
    </row>
    <row r="1158" spans="1:7" s="373" customFormat="1" ht="13.8" x14ac:dyDescent="0.3">
      <c r="A1158" s="378"/>
      <c r="B1158" s="378"/>
      <c r="C1158" s="379"/>
      <c r="D1158" s="379"/>
      <c r="E1158" s="379"/>
      <c r="F1158" s="379"/>
      <c r="G1158" s="380"/>
    </row>
    <row r="1159" spans="1:7" s="373" customFormat="1" ht="13.8" x14ac:dyDescent="0.3">
      <c r="A1159" s="378"/>
      <c r="B1159" s="378"/>
      <c r="C1159" s="379"/>
      <c r="D1159" s="379"/>
      <c r="E1159" s="379"/>
      <c r="F1159" s="379"/>
      <c r="G1159" s="380"/>
    </row>
    <row r="1160" spans="1:7" s="373" customFormat="1" ht="13.8" x14ac:dyDescent="0.3">
      <c r="A1160" s="378"/>
      <c r="B1160" s="378"/>
      <c r="C1160" s="379"/>
      <c r="D1160" s="379"/>
      <c r="E1160" s="379"/>
      <c r="F1160" s="379"/>
      <c r="G1160" s="380"/>
    </row>
    <row r="1161" spans="1:7" s="373" customFormat="1" ht="13.8" x14ac:dyDescent="0.3">
      <c r="A1161" s="378"/>
      <c r="B1161" s="378"/>
      <c r="C1161" s="379"/>
      <c r="D1161" s="379"/>
      <c r="E1161" s="379"/>
      <c r="F1161" s="379"/>
      <c r="G1161" s="380"/>
    </row>
    <row r="1162" spans="1:7" s="373" customFormat="1" ht="13.8" x14ac:dyDescent="0.3">
      <c r="A1162" s="378"/>
      <c r="B1162" s="378"/>
      <c r="C1162" s="379"/>
      <c r="D1162" s="379"/>
      <c r="E1162" s="379"/>
      <c r="F1162" s="379"/>
      <c r="G1162" s="380"/>
    </row>
    <row r="1163" spans="1:7" s="373" customFormat="1" ht="13.8" x14ac:dyDescent="0.3">
      <c r="A1163" s="378"/>
      <c r="B1163" s="378"/>
      <c r="C1163" s="379"/>
      <c r="D1163" s="379"/>
      <c r="E1163" s="379"/>
      <c r="F1163" s="379"/>
      <c r="G1163" s="380"/>
    </row>
    <row r="1164" spans="1:7" s="373" customFormat="1" ht="13.8" x14ac:dyDescent="0.3">
      <c r="A1164" s="378"/>
      <c r="B1164" s="378"/>
      <c r="C1164" s="379"/>
      <c r="D1164" s="379"/>
      <c r="E1164" s="379"/>
      <c r="F1164" s="379"/>
      <c r="G1164" s="380"/>
    </row>
    <row r="1165" spans="1:7" s="373" customFormat="1" ht="13.8" x14ac:dyDescent="0.3">
      <c r="A1165" s="378"/>
      <c r="B1165" s="378"/>
      <c r="C1165" s="379"/>
      <c r="D1165" s="379"/>
      <c r="E1165" s="379"/>
      <c r="F1165" s="379"/>
      <c r="G1165" s="380"/>
    </row>
    <row r="1166" spans="1:7" s="373" customFormat="1" ht="13.8" x14ac:dyDescent="0.3">
      <c r="A1166" s="378"/>
      <c r="B1166" s="378"/>
      <c r="C1166" s="379"/>
      <c r="D1166" s="379"/>
      <c r="E1166" s="379"/>
      <c r="F1166" s="379"/>
      <c r="G1166" s="380"/>
    </row>
    <row r="1167" spans="1:7" s="373" customFormat="1" ht="13.8" x14ac:dyDescent="0.3">
      <c r="A1167" s="378"/>
      <c r="B1167" s="378"/>
      <c r="C1167" s="379"/>
      <c r="D1167" s="379"/>
      <c r="E1167" s="379"/>
      <c r="F1167" s="379"/>
      <c r="G1167" s="380"/>
    </row>
    <row r="1168" spans="1:7" s="373" customFormat="1" ht="13.8" x14ac:dyDescent="0.3">
      <c r="A1168" s="378"/>
      <c r="B1168" s="378"/>
      <c r="C1168" s="379"/>
      <c r="D1168" s="379"/>
      <c r="E1168" s="379"/>
      <c r="F1168" s="379"/>
      <c r="G1168" s="380"/>
    </row>
    <row r="1169" spans="1:7" s="373" customFormat="1" ht="13.8" x14ac:dyDescent="0.3">
      <c r="A1169" s="378"/>
      <c r="B1169" s="378"/>
      <c r="C1169" s="379"/>
      <c r="D1169" s="379"/>
      <c r="E1169" s="379"/>
      <c r="F1169" s="379"/>
      <c r="G1169" s="380"/>
    </row>
    <row r="1170" spans="1:7" s="373" customFormat="1" ht="13.8" x14ac:dyDescent="0.3">
      <c r="A1170" s="378"/>
      <c r="B1170" s="378"/>
      <c r="C1170" s="379"/>
      <c r="D1170" s="379"/>
      <c r="E1170" s="379"/>
      <c r="F1170" s="379"/>
      <c r="G1170" s="380"/>
    </row>
    <row r="1171" spans="1:7" s="373" customFormat="1" ht="13.8" x14ac:dyDescent="0.3">
      <c r="A1171" s="378"/>
      <c r="B1171" s="378"/>
      <c r="C1171" s="379"/>
      <c r="D1171" s="379"/>
      <c r="E1171" s="379"/>
      <c r="F1171" s="379"/>
      <c r="G1171" s="380"/>
    </row>
    <row r="1172" spans="1:7" s="373" customFormat="1" ht="13.8" x14ac:dyDescent="0.3">
      <c r="A1172" s="378"/>
      <c r="B1172" s="378"/>
      <c r="C1172" s="379"/>
      <c r="D1172" s="379"/>
      <c r="E1172" s="379"/>
      <c r="F1172" s="379"/>
      <c r="G1172" s="380"/>
    </row>
    <row r="1173" spans="1:7" s="373" customFormat="1" ht="13.8" x14ac:dyDescent="0.3">
      <c r="A1173" s="378"/>
      <c r="B1173" s="378"/>
      <c r="C1173" s="379"/>
      <c r="D1173" s="379"/>
      <c r="E1173" s="379"/>
      <c r="F1173" s="379"/>
      <c r="G1173" s="380"/>
    </row>
    <row r="1174" spans="1:7" s="373" customFormat="1" ht="13.8" x14ac:dyDescent="0.3">
      <c r="A1174" s="378"/>
      <c r="B1174" s="378"/>
      <c r="C1174" s="379"/>
      <c r="D1174" s="379"/>
      <c r="E1174" s="379"/>
      <c r="F1174" s="379"/>
      <c r="G1174" s="380"/>
    </row>
    <row r="1175" spans="1:7" s="373" customFormat="1" ht="13.8" x14ac:dyDescent="0.3">
      <c r="A1175" s="378"/>
      <c r="B1175" s="378"/>
      <c r="C1175" s="379"/>
      <c r="D1175" s="379"/>
      <c r="E1175" s="379"/>
      <c r="F1175" s="379"/>
      <c r="G1175" s="380"/>
    </row>
    <row r="1176" spans="1:7" s="373" customFormat="1" ht="13.8" x14ac:dyDescent="0.3">
      <c r="A1176" s="378"/>
      <c r="B1176" s="378"/>
      <c r="C1176" s="379"/>
      <c r="D1176" s="379"/>
      <c r="E1176" s="379"/>
      <c r="F1176" s="379"/>
      <c r="G1176" s="380"/>
    </row>
    <row r="1177" spans="1:7" s="373" customFormat="1" ht="13.8" x14ac:dyDescent="0.3">
      <c r="A1177" s="378"/>
      <c r="B1177" s="378"/>
      <c r="C1177" s="379"/>
      <c r="D1177" s="379"/>
      <c r="E1177" s="379"/>
      <c r="F1177" s="379"/>
      <c r="G1177" s="380"/>
    </row>
    <row r="1178" spans="1:7" s="373" customFormat="1" ht="13.8" x14ac:dyDescent="0.3">
      <c r="A1178" s="378"/>
      <c r="B1178" s="378"/>
      <c r="C1178" s="379"/>
      <c r="D1178" s="379"/>
      <c r="E1178" s="379"/>
      <c r="F1178" s="379"/>
      <c r="G1178" s="380"/>
    </row>
    <row r="1179" spans="1:7" s="373" customFormat="1" ht="13.8" x14ac:dyDescent="0.3">
      <c r="A1179" s="378"/>
      <c r="B1179" s="378"/>
      <c r="C1179" s="379"/>
      <c r="D1179" s="379"/>
      <c r="E1179" s="379"/>
      <c r="F1179" s="379"/>
      <c r="G1179" s="380"/>
    </row>
    <row r="1180" spans="1:7" s="373" customFormat="1" ht="13.8" x14ac:dyDescent="0.3">
      <c r="A1180" s="378"/>
      <c r="B1180" s="378"/>
      <c r="C1180" s="379"/>
      <c r="D1180" s="379"/>
      <c r="E1180" s="379"/>
      <c r="F1180" s="379"/>
      <c r="G1180" s="380"/>
    </row>
    <row r="1181" spans="1:7" s="373" customFormat="1" ht="13.8" x14ac:dyDescent="0.3">
      <c r="A1181" s="378"/>
      <c r="B1181" s="378"/>
      <c r="C1181" s="379"/>
      <c r="D1181" s="379"/>
      <c r="E1181" s="379"/>
      <c r="F1181" s="379"/>
      <c r="G1181" s="380"/>
    </row>
    <row r="1182" spans="1:7" s="373" customFormat="1" ht="13.8" x14ac:dyDescent="0.3">
      <c r="A1182" s="378"/>
      <c r="B1182" s="378"/>
      <c r="C1182" s="379"/>
      <c r="D1182" s="379"/>
      <c r="E1182" s="379"/>
      <c r="F1182" s="379"/>
      <c r="G1182" s="380"/>
    </row>
    <row r="1183" spans="1:7" s="373" customFormat="1" ht="13.8" x14ac:dyDescent="0.3">
      <c r="A1183" s="378"/>
      <c r="B1183" s="378"/>
      <c r="C1183" s="379"/>
      <c r="D1183" s="379"/>
      <c r="E1183" s="379"/>
      <c r="F1183" s="379"/>
      <c r="G1183" s="380"/>
    </row>
    <row r="1184" spans="1:7" s="373" customFormat="1" ht="13.8" x14ac:dyDescent="0.3">
      <c r="A1184" s="378"/>
      <c r="B1184" s="378"/>
      <c r="C1184" s="379"/>
      <c r="D1184" s="379"/>
      <c r="E1184" s="379"/>
      <c r="F1184" s="379"/>
      <c r="G1184" s="380"/>
    </row>
    <row r="1185" spans="1:7" s="373" customFormat="1" ht="13.8" x14ac:dyDescent="0.3">
      <c r="A1185" s="378"/>
      <c r="B1185" s="378"/>
      <c r="C1185" s="379"/>
      <c r="D1185" s="379"/>
      <c r="E1185" s="379"/>
      <c r="F1185" s="379"/>
      <c r="G1185" s="380"/>
    </row>
    <row r="1186" spans="1:7" s="373" customFormat="1" ht="13.8" x14ac:dyDescent="0.3">
      <c r="A1186" s="378"/>
      <c r="B1186" s="378"/>
      <c r="C1186" s="379"/>
      <c r="D1186" s="379"/>
      <c r="E1186" s="379"/>
      <c r="F1186" s="379"/>
      <c r="G1186" s="380"/>
    </row>
    <row r="1187" spans="1:7" s="373" customFormat="1" ht="13.8" x14ac:dyDescent="0.3">
      <c r="A1187" s="378"/>
      <c r="B1187" s="378"/>
      <c r="C1187" s="379"/>
      <c r="D1187" s="379"/>
      <c r="E1187" s="379"/>
      <c r="F1187" s="379"/>
      <c r="G1187" s="380"/>
    </row>
    <row r="1188" spans="1:7" s="373" customFormat="1" ht="13.8" x14ac:dyDescent="0.3">
      <c r="A1188" s="378"/>
      <c r="B1188" s="378"/>
      <c r="C1188" s="379"/>
      <c r="D1188" s="379"/>
      <c r="E1188" s="379"/>
      <c r="F1188" s="379"/>
      <c r="G1188" s="380"/>
    </row>
    <row r="1189" spans="1:7" s="373" customFormat="1" ht="13.8" x14ac:dyDescent="0.3">
      <c r="A1189" s="378"/>
      <c r="B1189" s="378"/>
      <c r="C1189" s="379"/>
      <c r="D1189" s="379"/>
      <c r="E1189" s="379"/>
      <c r="F1189" s="379"/>
      <c r="G1189" s="380"/>
    </row>
    <row r="1190" spans="1:7" s="373" customFormat="1" ht="13.8" x14ac:dyDescent="0.3">
      <c r="A1190" s="378"/>
      <c r="B1190" s="378"/>
      <c r="C1190" s="379"/>
      <c r="D1190" s="379"/>
      <c r="E1190" s="379"/>
      <c r="F1190" s="379"/>
      <c r="G1190" s="380"/>
    </row>
    <row r="1191" spans="1:7" s="373" customFormat="1" ht="13.8" x14ac:dyDescent="0.3">
      <c r="A1191" s="378"/>
      <c r="B1191" s="378"/>
      <c r="C1191" s="379"/>
      <c r="D1191" s="379"/>
      <c r="E1191" s="379"/>
      <c r="F1191" s="379"/>
      <c r="G1191" s="380"/>
    </row>
    <row r="1192" spans="1:7" s="373" customFormat="1" ht="13.8" x14ac:dyDescent="0.3">
      <c r="A1192" s="378"/>
      <c r="B1192" s="378"/>
      <c r="C1192" s="379"/>
      <c r="D1192" s="379"/>
      <c r="E1192" s="379"/>
      <c r="F1192" s="379"/>
      <c r="G1192" s="380"/>
    </row>
    <row r="1193" spans="1:7" s="373" customFormat="1" ht="13.8" x14ac:dyDescent="0.3">
      <c r="A1193" s="378"/>
      <c r="B1193" s="378"/>
      <c r="C1193" s="379"/>
      <c r="D1193" s="379"/>
      <c r="E1193" s="379"/>
      <c r="F1193" s="379"/>
      <c r="G1193" s="380"/>
    </row>
    <row r="1194" spans="1:7" s="373" customFormat="1" ht="13.8" x14ac:dyDescent="0.3">
      <c r="A1194" s="378"/>
      <c r="B1194" s="378"/>
      <c r="C1194" s="379"/>
      <c r="D1194" s="379"/>
      <c r="E1194" s="379"/>
      <c r="F1194" s="379"/>
      <c r="G1194" s="380"/>
    </row>
    <row r="1195" spans="1:7" s="373" customFormat="1" ht="13.8" x14ac:dyDescent="0.3">
      <c r="A1195" s="378"/>
      <c r="B1195" s="378"/>
      <c r="C1195" s="379"/>
      <c r="D1195" s="379"/>
      <c r="E1195" s="379"/>
      <c r="F1195" s="379"/>
      <c r="G1195" s="380"/>
    </row>
    <row r="1196" spans="1:7" s="373" customFormat="1" ht="13.8" x14ac:dyDescent="0.3">
      <c r="A1196" s="378"/>
      <c r="B1196" s="378"/>
      <c r="C1196" s="379"/>
      <c r="D1196" s="379"/>
      <c r="E1196" s="379"/>
      <c r="F1196" s="379"/>
      <c r="G1196" s="380"/>
    </row>
    <row r="1197" spans="1:7" s="373" customFormat="1" ht="13.8" x14ac:dyDescent="0.3">
      <c r="A1197" s="378"/>
      <c r="B1197" s="378"/>
      <c r="C1197" s="379"/>
      <c r="D1197" s="379"/>
      <c r="E1197" s="379"/>
      <c r="F1197" s="379"/>
      <c r="G1197" s="380"/>
    </row>
    <row r="1198" spans="1:7" s="373" customFormat="1" ht="13.8" x14ac:dyDescent="0.3">
      <c r="A1198" s="378"/>
      <c r="B1198" s="378"/>
      <c r="C1198" s="379"/>
      <c r="D1198" s="379"/>
      <c r="E1198" s="379"/>
      <c r="F1198" s="379"/>
      <c r="G1198" s="380"/>
    </row>
    <row r="1199" spans="1:7" s="373" customFormat="1" ht="13.8" x14ac:dyDescent="0.3">
      <c r="A1199" s="378"/>
      <c r="B1199" s="378"/>
      <c r="C1199" s="379"/>
      <c r="D1199" s="379"/>
      <c r="E1199" s="379"/>
      <c r="F1199" s="379"/>
      <c r="G1199" s="380"/>
    </row>
    <row r="1200" spans="1:7" s="373" customFormat="1" ht="13.8" x14ac:dyDescent="0.3">
      <c r="A1200" s="378"/>
      <c r="B1200" s="378"/>
      <c r="C1200" s="379"/>
      <c r="D1200" s="379"/>
      <c r="E1200" s="379"/>
      <c r="F1200" s="379"/>
      <c r="G1200" s="380"/>
    </row>
    <row r="1201" spans="1:7" s="373" customFormat="1" ht="13.8" x14ac:dyDescent="0.3">
      <c r="A1201" s="378"/>
      <c r="B1201" s="378"/>
      <c r="C1201" s="379"/>
      <c r="D1201" s="379"/>
      <c r="E1201" s="379"/>
      <c r="F1201" s="379"/>
      <c r="G1201" s="380"/>
    </row>
    <row r="1202" spans="1:7" s="373" customFormat="1" ht="13.8" x14ac:dyDescent="0.3">
      <c r="A1202" s="378"/>
      <c r="B1202" s="378"/>
      <c r="C1202" s="379"/>
      <c r="D1202" s="379"/>
      <c r="E1202" s="379"/>
      <c r="F1202" s="379"/>
      <c r="G1202" s="380"/>
    </row>
    <row r="1203" spans="1:7" s="373" customFormat="1" ht="13.8" x14ac:dyDescent="0.3">
      <c r="A1203" s="378"/>
      <c r="B1203" s="378"/>
      <c r="C1203" s="379"/>
      <c r="D1203" s="379"/>
      <c r="E1203" s="379"/>
      <c r="F1203" s="379"/>
      <c r="G1203" s="380"/>
    </row>
    <row r="1204" spans="1:7" s="373" customFormat="1" ht="13.8" x14ac:dyDescent="0.3">
      <c r="A1204" s="378"/>
      <c r="B1204" s="378"/>
      <c r="C1204" s="379"/>
      <c r="D1204" s="379"/>
      <c r="E1204" s="379"/>
      <c r="F1204" s="379"/>
      <c r="G1204" s="380"/>
    </row>
    <row r="1205" spans="1:7" s="373" customFormat="1" ht="13.8" x14ac:dyDescent="0.3">
      <c r="A1205" s="378"/>
      <c r="B1205" s="378"/>
      <c r="C1205" s="379"/>
      <c r="D1205" s="379"/>
      <c r="E1205" s="379"/>
      <c r="F1205" s="379"/>
      <c r="G1205" s="380"/>
    </row>
    <row r="1206" spans="1:7" s="373" customFormat="1" ht="13.8" x14ac:dyDescent="0.3">
      <c r="A1206" s="378"/>
      <c r="B1206" s="378"/>
      <c r="C1206" s="379"/>
      <c r="D1206" s="379"/>
      <c r="E1206" s="379"/>
      <c r="F1206" s="379"/>
      <c r="G1206" s="380"/>
    </row>
    <row r="1207" spans="1:7" s="373" customFormat="1" ht="13.8" x14ac:dyDescent="0.3">
      <c r="A1207" s="378"/>
      <c r="B1207" s="378"/>
      <c r="C1207" s="379"/>
      <c r="D1207" s="379"/>
      <c r="E1207" s="379"/>
      <c r="F1207" s="379"/>
      <c r="G1207" s="380"/>
    </row>
    <row r="1208" spans="1:7" s="373" customFormat="1" ht="13.8" x14ac:dyDescent="0.3">
      <c r="A1208" s="378"/>
      <c r="B1208" s="378"/>
      <c r="C1208" s="379"/>
      <c r="D1208" s="379"/>
      <c r="E1208" s="379"/>
      <c r="F1208" s="379"/>
      <c r="G1208" s="380"/>
    </row>
    <row r="1209" spans="1:7" s="373" customFormat="1" ht="13.8" x14ac:dyDescent="0.3">
      <c r="A1209" s="378"/>
      <c r="B1209" s="378"/>
      <c r="C1209" s="379"/>
      <c r="D1209" s="379"/>
      <c r="E1209" s="379"/>
      <c r="F1209" s="379"/>
      <c r="G1209" s="380"/>
    </row>
    <row r="1210" spans="1:7" s="373" customFormat="1" ht="13.8" x14ac:dyDescent="0.3">
      <c r="A1210" s="378"/>
      <c r="B1210" s="378"/>
      <c r="C1210" s="379"/>
      <c r="D1210" s="379"/>
      <c r="E1210" s="379"/>
      <c r="F1210" s="379"/>
      <c r="G1210" s="380"/>
    </row>
    <row r="1211" spans="1:7" s="373" customFormat="1" ht="13.8" x14ac:dyDescent="0.3">
      <c r="A1211" s="378"/>
      <c r="B1211" s="378"/>
      <c r="C1211" s="379"/>
      <c r="D1211" s="379"/>
      <c r="E1211" s="379"/>
      <c r="F1211" s="379"/>
      <c r="G1211" s="380"/>
    </row>
    <row r="1212" spans="1:7" s="373" customFormat="1" ht="13.8" x14ac:dyDescent="0.3">
      <c r="A1212" s="378"/>
      <c r="B1212" s="378"/>
      <c r="C1212" s="379"/>
      <c r="D1212" s="379"/>
      <c r="E1212" s="379"/>
      <c r="F1212" s="379"/>
      <c r="G1212" s="380"/>
    </row>
    <row r="1213" spans="1:7" s="373" customFormat="1" ht="13.8" x14ac:dyDescent="0.3">
      <c r="A1213" s="378"/>
      <c r="B1213" s="378"/>
      <c r="C1213" s="379"/>
      <c r="D1213" s="379"/>
      <c r="E1213" s="379"/>
      <c r="F1213" s="379"/>
      <c r="G1213" s="380"/>
    </row>
    <row r="1214" spans="1:7" s="373" customFormat="1" ht="13.8" x14ac:dyDescent="0.3">
      <c r="A1214" s="378"/>
      <c r="B1214" s="378"/>
      <c r="C1214" s="379"/>
      <c r="D1214" s="379"/>
      <c r="E1214" s="379"/>
      <c r="F1214" s="379"/>
      <c r="G1214" s="380"/>
    </row>
    <row r="1215" spans="1:7" s="373" customFormat="1" ht="13.8" x14ac:dyDescent="0.3">
      <c r="A1215" s="378"/>
      <c r="B1215" s="378"/>
      <c r="C1215" s="379"/>
      <c r="D1215" s="379"/>
      <c r="E1215" s="379"/>
      <c r="F1215" s="379"/>
      <c r="G1215" s="380"/>
    </row>
    <row r="1216" spans="1:7" s="373" customFormat="1" ht="13.8" x14ac:dyDescent="0.3">
      <c r="A1216" s="378"/>
      <c r="B1216" s="378"/>
      <c r="C1216" s="379"/>
      <c r="D1216" s="379"/>
      <c r="E1216" s="379"/>
      <c r="F1216" s="379"/>
      <c r="G1216" s="380"/>
    </row>
    <row r="1217" spans="1:7" s="373" customFormat="1" ht="13.8" x14ac:dyDescent="0.3">
      <c r="A1217" s="378"/>
      <c r="B1217" s="378"/>
      <c r="C1217" s="379"/>
      <c r="D1217" s="379"/>
      <c r="E1217" s="379"/>
      <c r="F1217" s="379"/>
      <c r="G1217" s="380"/>
    </row>
    <row r="1218" spans="1:7" s="373" customFormat="1" ht="13.8" x14ac:dyDescent="0.3">
      <c r="A1218" s="378"/>
      <c r="B1218" s="378"/>
      <c r="C1218" s="379"/>
      <c r="D1218" s="379"/>
      <c r="E1218" s="379"/>
      <c r="F1218" s="379"/>
      <c r="G1218" s="380"/>
    </row>
    <row r="1219" spans="1:7" s="373" customFormat="1" ht="13.8" x14ac:dyDescent="0.3">
      <c r="A1219" s="378"/>
      <c r="B1219" s="378"/>
      <c r="C1219" s="379"/>
      <c r="D1219" s="379"/>
      <c r="E1219" s="379"/>
      <c r="F1219" s="379"/>
      <c r="G1219" s="380"/>
    </row>
    <row r="1220" spans="1:7" s="373" customFormat="1" ht="13.8" x14ac:dyDescent="0.3">
      <c r="A1220" s="378"/>
      <c r="B1220" s="378"/>
      <c r="C1220" s="379"/>
      <c r="D1220" s="379"/>
      <c r="E1220" s="379"/>
      <c r="F1220" s="379"/>
      <c r="G1220" s="380"/>
    </row>
    <row r="1221" spans="1:7" s="373" customFormat="1" ht="13.8" x14ac:dyDescent="0.3">
      <c r="A1221" s="378"/>
      <c r="B1221" s="378"/>
      <c r="C1221" s="379"/>
      <c r="D1221" s="379"/>
      <c r="E1221" s="379"/>
      <c r="F1221" s="379"/>
      <c r="G1221" s="380"/>
    </row>
    <row r="1222" spans="1:7" s="373" customFormat="1" ht="13.8" x14ac:dyDescent="0.3">
      <c r="A1222" s="378"/>
      <c r="B1222" s="378"/>
      <c r="C1222" s="379"/>
      <c r="D1222" s="379"/>
      <c r="E1222" s="379"/>
      <c r="F1222" s="379"/>
      <c r="G1222" s="380"/>
    </row>
    <row r="1223" spans="1:7" s="373" customFormat="1" ht="13.8" x14ac:dyDescent="0.3">
      <c r="A1223" s="378"/>
      <c r="B1223" s="378"/>
      <c r="C1223" s="379"/>
      <c r="D1223" s="379"/>
      <c r="E1223" s="379"/>
      <c r="F1223" s="379"/>
      <c r="G1223" s="380"/>
    </row>
    <row r="1224" spans="1:7" s="373" customFormat="1" ht="13.8" x14ac:dyDescent="0.3">
      <c r="A1224" s="378"/>
      <c r="B1224" s="378"/>
      <c r="C1224" s="379"/>
      <c r="D1224" s="379"/>
      <c r="E1224" s="379"/>
      <c r="F1224" s="379"/>
      <c r="G1224" s="380"/>
    </row>
    <row r="1225" spans="1:7" s="373" customFormat="1" ht="13.8" x14ac:dyDescent="0.3">
      <c r="A1225" s="378"/>
      <c r="B1225" s="378"/>
      <c r="C1225" s="379"/>
      <c r="D1225" s="379"/>
      <c r="E1225" s="379"/>
      <c r="F1225" s="379"/>
      <c r="G1225" s="380"/>
    </row>
    <row r="1226" spans="1:7" s="373" customFormat="1" ht="13.8" x14ac:dyDescent="0.3">
      <c r="A1226" s="378"/>
      <c r="B1226" s="378"/>
      <c r="C1226" s="379"/>
      <c r="D1226" s="379"/>
      <c r="E1226" s="379"/>
      <c r="F1226" s="379"/>
      <c r="G1226" s="380"/>
    </row>
    <row r="1227" spans="1:7" s="373" customFormat="1" ht="13.8" x14ac:dyDescent="0.3">
      <c r="A1227" s="378"/>
      <c r="B1227" s="378"/>
      <c r="C1227" s="379"/>
      <c r="D1227" s="379"/>
      <c r="E1227" s="379"/>
      <c r="F1227" s="379"/>
      <c r="G1227" s="380"/>
    </row>
    <row r="1228" spans="1:7" s="373" customFormat="1" ht="13.8" x14ac:dyDescent="0.3">
      <c r="A1228" s="378"/>
      <c r="B1228" s="378"/>
      <c r="C1228" s="379"/>
      <c r="D1228" s="379"/>
      <c r="E1228" s="379"/>
      <c r="F1228" s="379"/>
      <c r="G1228" s="380"/>
    </row>
    <row r="1229" spans="1:7" s="373" customFormat="1" ht="13.8" x14ac:dyDescent="0.3">
      <c r="A1229" s="378"/>
      <c r="B1229" s="378"/>
      <c r="C1229" s="379"/>
      <c r="D1229" s="379"/>
      <c r="E1229" s="379"/>
      <c r="F1229" s="379"/>
      <c r="G1229" s="380"/>
    </row>
    <row r="1230" spans="1:7" s="373" customFormat="1" ht="13.8" x14ac:dyDescent="0.3">
      <c r="A1230" s="378"/>
      <c r="B1230" s="378"/>
      <c r="C1230" s="379"/>
      <c r="D1230" s="379"/>
      <c r="E1230" s="379"/>
      <c r="F1230" s="379"/>
      <c r="G1230" s="380"/>
    </row>
    <row r="1231" spans="1:7" s="373" customFormat="1" ht="13.8" x14ac:dyDescent="0.3">
      <c r="A1231" s="378"/>
      <c r="B1231" s="378"/>
      <c r="C1231" s="379"/>
      <c r="D1231" s="379"/>
      <c r="E1231" s="379"/>
      <c r="F1231" s="379"/>
      <c r="G1231" s="380"/>
    </row>
    <row r="1232" spans="1:7" s="373" customFormat="1" ht="13.8" x14ac:dyDescent="0.3">
      <c r="A1232" s="378"/>
      <c r="B1232" s="378"/>
      <c r="C1232" s="379"/>
      <c r="D1232" s="379"/>
      <c r="E1232" s="379"/>
      <c r="F1232" s="379"/>
      <c r="G1232" s="380"/>
    </row>
    <row r="1233" spans="1:7" s="373" customFormat="1" ht="13.8" x14ac:dyDescent="0.3">
      <c r="A1233" s="378"/>
      <c r="B1233" s="378"/>
      <c r="C1233" s="379"/>
      <c r="D1233" s="379"/>
      <c r="E1233" s="379"/>
      <c r="F1233" s="379"/>
      <c r="G1233" s="380"/>
    </row>
    <row r="1234" spans="1:7" s="373" customFormat="1" ht="13.8" x14ac:dyDescent="0.3">
      <c r="A1234" s="378"/>
      <c r="B1234" s="378"/>
      <c r="C1234" s="379"/>
      <c r="D1234" s="379"/>
      <c r="E1234" s="379"/>
      <c r="F1234" s="379"/>
      <c r="G1234" s="380"/>
    </row>
    <row r="1235" spans="1:7" s="373" customFormat="1" ht="13.8" x14ac:dyDescent="0.3">
      <c r="A1235" s="378"/>
      <c r="B1235" s="378"/>
      <c r="C1235" s="379"/>
      <c r="D1235" s="379"/>
      <c r="E1235" s="379"/>
      <c r="F1235" s="379"/>
      <c r="G1235" s="380"/>
    </row>
    <row r="1236" spans="1:7" s="373" customFormat="1" ht="13.8" x14ac:dyDescent="0.3">
      <c r="A1236" s="378"/>
      <c r="B1236" s="378"/>
      <c r="C1236" s="379"/>
      <c r="D1236" s="379"/>
      <c r="E1236" s="379"/>
      <c r="F1236" s="379"/>
      <c r="G1236" s="380"/>
    </row>
    <row r="1237" spans="1:7" s="373" customFormat="1" ht="13.8" x14ac:dyDescent="0.3">
      <c r="A1237" s="378"/>
      <c r="B1237" s="378"/>
      <c r="C1237" s="379"/>
      <c r="D1237" s="379"/>
      <c r="E1237" s="379"/>
      <c r="F1237" s="379"/>
      <c r="G1237" s="380"/>
    </row>
    <row r="1238" spans="1:7" s="373" customFormat="1" ht="13.8" x14ac:dyDescent="0.3">
      <c r="A1238" s="378"/>
      <c r="B1238" s="378"/>
      <c r="C1238" s="379"/>
      <c r="D1238" s="379"/>
      <c r="E1238" s="379"/>
      <c r="F1238" s="379"/>
      <c r="G1238" s="380"/>
    </row>
    <row r="1239" spans="1:7" s="373" customFormat="1" ht="13.8" x14ac:dyDescent="0.3">
      <c r="A1239" s="378"/>
      <c r="B1239" s="378"/>
      <c r="C1239" s="379"/>
      <c r="D1239" s="379"/>
      <c r="E1239" s="379"/>
      <c r="F1239" s="379"/>
      <c r="G1239" s="380"/>
    </row>
    <row r="1240" spans="1:7" s="373" customFormat="1" ht="13.8" x14ac:dyDescent="0.3">
      <c r="A1240" s="378"/>
      <c r="B1240" s="378"/>
      <c r="C1240" s="379"/>
      <c r="D1240" s="379"/>
      <c r="E1240" s="379"/>
      <c r="F1240" s="379"/>
      <c r="G1240" s="380"/>
    </row>
    <row r="1241" spans="1:7" s="373" customFormat="1" ht="13.8" x14ac:dyDescent="0.3">
      <c r="A1241" s="378"/>
      <c r="B1241" s="378"/>
      <c r="C1241" s="379"/>
      <c r="D1241" s="379"/>
      <c r="E1241" s="379"/>
      <c r="F1241" s="379"/>
      <c r="G1241" s="380"/>
    </row>
    <row r="1242" spans="1:7" s="373" customFormat="1" ht="13.8" x14ac:dyDescent="0.3">
      <c r="A1242" s="378"/>
      <c r="B1242" s="378"/>
      <c r="C1242" s="379"/>
      <c r="D1242" s="379"/>
      <c r="E1242" s="379"/>
      <c r="F1242" s="379"/>
      <c r="G1242" s="380"/>
    </row>
    <row r="1243" spans="1:7" s="373" customFormat="1" ht="13.8" x14ac:dyDescent="0.3">
      <c r="A1243" s="378"/>
      <c r="B1243" s="378"/>
      <c r="C1243" s="379"/>
      <c r="D1243" s="379"/>
      <c r="E1243" s="379"/>
      <c r="F1243" s="379"/>
      <c r="G1243" s="380"/>
    </row>
    <row r="1244" spans="1:7" s="373" customFormat="1" ht="13.8" x14ac:dyDescent="0.3">
      <c r="A1244" s="378"/>
      <c r="B1244" s="378"/>
      <c r="C1244" s="379"/>
      <c r="D1244" s="379"/>
      <c r="E1244" s="379"/>
      <c r="F1244" s="379"/>
      <c r="G1244" s="380"/>
    </row>
    <row r="1245" spans="1:7" s="373" customFormat="1" ht="13.8" x14ac:dyDescent="0.3">
      <c r="A1245" s="378"/>
      <c r="B1245" s="378"/>
      <c r="C1245" s="379"/>
      <c r="D1245" s="379"/>
      <c r="E1245" s="379"/>
      <c r="F1245" s="379"/>
      <c r="G1245" s="380"/>
    </row>
    <row r="1246" spans="1:7" s="373" customFormat="1" ht="13.8" x14ac:dyDescent="0.3">
      <c r="A1246" s="378"/>
      <c r="B1246" s="378"/>
      <c r="C1246" s="379"/>
      <c r="D1246" s="379"/>
      <c r="E1246" s="379"/>
      <c r="F1246" s="379"/>
      <c r="G1246" s="380"/>
    </row>
    <row r="1247" spans="1:7" s="373" customFormat="1" ht="13.8" x14ac:dyDescent="0.3">
      <c r="A1247" s="378"/>
      <c r="B1247" s="378"/>
      <c r="C1247" s="379"/>
      <c r="D1247" s="379"/>
      <c r="E1247" s="379"/>
      <c r="F1247" s="379"/>
      <c r="G1247" s="380"/>
    </row>
    <row r="1248" spans="1:7" s="373" customFormat="1" ht="13.8" x14ac:dyDescent="0.3">
      <c r="A1248" s="378"/>
      <c r="B1248" s="378"/>
      <c r="C1248" s="379"/>
      <c r="D1248" s="379"/>
      <c r="E1248" s="379"/>
      <c r="F1248" s="379"/>
      <c r="G1248" s="380"/>
    </row>
    <row r="1249" spans="1:7" s="373" customFormat="1" ht="13.8" x14ac:dyDescent="0.3">
      <c r="A1249" s="378"/>
      <c r="B1249" s="378"/>
      <c r="C1249" s="379"/>
      <c r="D1249" s="379"/>
      <c r="E1249" s="379"/>
      <c r="F1249" s="379"/>
      <c r="G1249" s="380"/>
    </row>
    <row r="1250" spans="1:7" s="373" customFormat="1" ht="13.8" x14ac:dyDescent="0.3">
      <c r="A1250" s="378"/>
      <c r="B1250" s="378"/>
      <c r="C1250" s="379"/>
      <c r="D1250" s="379"/>
      <c r="E1250" s="379"/>
      <c r="F1250" s="379"/>
      <c r="G1250" s="380"/>
    </row>
    <row r="1251" spans="1:7" s="373" customFormat="1" ht="13.8" x14ac:dyDescent="0.3">
      <c r="A1251" s="378"/>
      <c r="B1251" s="378"/>
      <c r="C1251" s="379"/>
      <c r="D1251" s="379"/>
      <c r="E1251" s="379"/>
      <c r="F1251" s="379"/>
      <c r="G1251" s="380"/>
    </row>
    <row r="1252" spans="1:7" s="373" customFormat="1" ht="13.8" x14ac:dyDescent="0.3">
      <c r="A1252" s="378"/>
      <c r="B1252" s="378"/>
      <c r="C1252" s="379"/>
      <c r="D1252" s="379"/>
      <c r="E1252" s="379"/>
      <c r="F1252" s="379"/>
      <c r="G1252" s="380"/>
    </row>
    <row r="1253" spans="1:7" s="373" customFormat="1" ht="13.8" x14ac:dyDescent="0.3">
      <c r="A1253" s="378"/>
      <c r="B1253" s="378"/>
      <c r="C1253" s="379"/>
      <c r="D1253" s="379"/>
      <c r="E1253" s="379"/>
      <c r="F1253" s="379"/>
      <c r="G1253" s="380"/>
    </row>
    <row r="1254" spans="1:7" s="373" customFormat="1" ht="13.8" x14ac:dyDescent="0.3">
      <c r="A1254" s="378"/>
      <c r="B1254" s="378"/>
      <c r="C1254" s="379"/>
      <c r="D1254" s="379"/>
      <c r="E1254" s="379"/>
      <c r="F1254" s="379"/>
      <c r="G1254" s="380"/>
    </row>
    <row r="1255" spans="1:7" s="373" customFormat="1" ht="13.8" x14ac:dyDescent="0.3">
      <c r="A1255" s="378"/>
      <c r="B1255" s="378"/>
      <c r="C1255" s="379"/>
      <c r="D1255" s="379"/>
      <c r="E1255" s="379"/>
      <c r="F1255" s="379"/>
      <c r="G1255" s="380"/>
    </row>
    <row r="1256" spans="1:7" s="373" customFormat="1" ht="13.8" x14ac:dyDescent="0.3">
      <c r="A1256" s="378"/>
      <c r="B1256" s="378"/>
      <c r="C1256" s="379"/>
      <c r="D1256" s="379"/>
      <c r="E1256" s="379"/>
      <c r="F1256" s="379"/>
      <c r="G1256" s="380"/>
    </row>
    <row r="1257" spans="1:7" s="373" customFormat="1" ht="13.8" x14ac:dyDescent="0.3">
      <c r="A1257" s="378"/>
      <c r="B1257" s="378"/>
      <c r="C1257" s="379"/>
      <c r="D1257" s="379"/>
      <c r="E1257" s="379"/>
      <c r="F1257" s="379"/>
      <c r="G1257" s="380"/>
    </row>
    <row r="1258" spans="1:7" s="373" customFormat="1" ht="13.8" x14ac:dyDescent="0.3">
      <c r="A1258" s="378"/>
      <c r="B1258" s="378"/>
      <c r="C1258" s="379"/>
      <c r="D1258" s="379"/>
      <c r="E1258" s="379"/>
      <c r="F1258" s="379"/>
      <c r="G1258" s="380"/>
    </row>
    <row r="1259" spans="1:7" s="373" customFormat="1" ht="13.8" x14ac:dyDescent="0.3">
      <c r="A1259" s="378"/>
      <c r="B1259" s="378"/>
      <c r="C1259" s="379"/>
      <c r="D1259" s="379"/>
      <c r="E1259" s="379"/>
      <c r="F1259" s="379"/>
      <c r="G1259" s="380"/>
    </row>
    <row r="1260" spans="1:7" s="373" customFormat="1" ht="13.8" x14ac:dyDescent="0.3">
      <c r="A1260" s="378"/>
      <c r="B1260" s="378"/>
      <c r="C1260" s="379"/>
      <c r="D1260" s="379"/>
      <c r="E1260" s="379"/>
      <c r="F1260" s="379"/>
      <c r="G1260" s="380"/>
    </row>
    <row r="1261" spans="1:7" s="373" customFormat="1" ht="13.8" x14ac:dyDescent="0.3">
      <c r="A1261" s="378"/>
      <c r="B1261" s="378"/>
      <c r="C1261" s="379"/>
      <c r="D1261" s="379"/>
      <c r="E1261" s="379"/>
      <c r="F1261" s="379"/>
      <c r="G1261" s="380"/>
    </row>
    <row r="1262" spans="1:7" s="373" customFormat="1" ht="13.8" x14ac:dyDescent="0.3">
      <c r="A1262" s="378"/>
      <c r="B1262" s="378"/>
      <c r="C1262" s="379"/>
      <c r="D1262" s="379"/>
      <c r="E1262" s="379"/>
      <c r="F1262" s="379"/>
      <c r="G1262" s="380"/>
    </row>
    <row r="1263" spans="1:7" s="373" customFormat="1" ht="13.8" x14ac:dyDescent="0.3">
      <c r="A1263" s="378"/>
      <c r="B1263" s="378"/>
      <c r="C1263" s="379"/>
      <c r="D1263" s="379"/>
      <c r="E1263" s="379"/>
      <c r="F1263" s="379"/>
      <c r="G1263" s="380"/>
    </row>
    <row r="1264" spans="1:7" s="373" customFormat="1" ht="13.8" x14ac:dyDescent="0.3">
      <c r="A1264" s="378"/>
      <c r="B1264" s="378"/>
      <c r="C1264" s="379"/>
      <c r="D1264" s="379"/>
      <c r="E1264" s="379"/>
      <c r="F1264" s="379"/>
      <c r="G1264" s="380"/>
    </row>
    <row r="1265" spans="1:7" s="373" customFormat="1" ht="13.8" x14ac:dyDescent="0.3">
      <c r="A1265" s="378"/>
      <c r="B1265" s="378"/>
      <c r="C1265" s="379"/>
      <c r="D1265" s="379"/>
      <c r="E1265" s="379"/>
      <c r="F1265" s="379"/>
      <c r="G1265" s="380"/>
    </row>
    <row r="1266" spans="1:7" s="373" customFormat="1" ht="13.8" x14ac:dyDescent="0.3">
      <c r="A1266" s="378"/>
      <c r="B1266" s="378"/>
      <c r="C1266" s="379"/>
      <c r="D1266" s="379"/>
      <c r="E1266" s="379"/>
      <c r="F1266" s="379"/>
      <c r="G1266" s="380"/>
    </row>
    <row r="1267" spans="1:7" s="373" customFormat="1" ht="13.8" x14ac:dyDescent="0.3">
      <c r="A1267" s="378"/>
      <c r="B1267" s="378"/>
      <c r="C1267" s="379"/>
      <c r="D1267" s="379"/>
      <c r="E1267" s="379"/>
      <c r="F1267" s="379"/>
      <c r="G1267" s="380"/>
    </row>
    <row r="1268" spans="1:7" s="373" customFormat="1" ht="13.8" x14ac:dyDescent="0.3">
      <c r="A1268" s="378"/>
      <c r="B1268" s="378"/>
      <c r="C1268" s="379"/>
      <c r="D1268" s="379"/>
      <c r="E1268" s="379"/>
      <c r="F1268" s="379"/>
      <c r="G1268" s="380"/>
    </row>
    <row r="1269" spans="1:7" s="373" customFormat="1" ht="13.8" x14ac:dyDescent="0.3">
      <c r="A1269" s="378"/>
      <c r="B1269" s="378"/>
      <c r="C1269" s="379"/>
      <c r="D1269" s="379"/>
      <c r="E1269" s="379"/>
      <c r="F1269" s="379"/>
      <c r="G1269" s="380"/>
    </row>
    <row r="1270" spans="1:7" s="373" customFormat="1" ht="13.8" x14ac:dyDescent="0.3">
      <c r="A1270" s="378"/>
      <c r="B1270" s="378"/>
      <c r="C1270" s="379"/>
      <c r="D1270" s="379"/>
      <c r="E1270" s="379"/>
      <c r="F1270" s="379"/>
      <c r="G1270" s="380"/>
    </row>
    <row r="1271" spans="1:7" s="373" customFormat="1" ht="13.8" x14ac:dyDescent="0.3">
      <c r="A1271" s="378"/>
      <c r="B1271" s="378"/>
      <c r="C1271" s="379"/>
      <c r="D1271" s="379"/>
      <c r="E1271" s="379"/>
      <c r="F1271" s="379"/>
      <c r="G1271" s="380"/>
    </row>
    <row r="1272" spans="1:7" s="373" customFormat="1" ht="13.8" x14ac:dyDescent="0.3">
      <c r="A1272" s="378"/>
      <c r="B1272" s="378"/>
      <c r="C1272" s="379"/>
      <c r="D1272" s="379"/>
      <c r="E1272" s="379"/>
      <c r="F1272" s="379"/>
      <c r="G1272" s="380"/>
    </row>
    <row r="1273" spans="1:7" s="373" customFormat="1" ht="13.8" x14ac:dyDescent="0.3">
      <c r="A1273" s="378"/>
      <c r="B1273" s="378"/>
      <c r="C1273" s="379"/>
      <c r="D1273" s="379"/>
      <c r="E1273" s="379"/>
      <c r="F1273" s="379"/>
      <c r="G1273" s="380"/>
    </row>
    <row r="1274" spans="1:7" s="373" customFormat="1" ht="13.8" x14ac:dyDescent="0.3">
      <c r="A1274" s="378"/>
      <c r="B1274" s="378"/>
      <c r="C1274" s="379"/>
      <c r="D1274" s="379"/>
      <c r="E1274" s="379"/>
      <c r="F1274" s="379"/>
      <c r="G1274" s="380"/>
    </row>
    <row r="1275" spans="1:7" s="373" customFormat="1" ht="13.8" x14ac:dyDescent="0.3">
      <c r="A1275" s="378"/>
      <c r="B1275" s="378"/>
      <c r="C1275" s="379"/>
      <c r="D1275" s="379"/>
      <c r="E1275" s="379"/>
      <c r="F1275" s="379"/>
      <c r="G1275" s="380"/>
    </row>
    <row r="1276" spans="1:7" s="373" customFormat="1" ht="13.8" x14ac:dyDescent="0.3">
      <c r="A1276" s="378"/>
      <c r="B1276" s="378"/>
      <c r="C1276" s="379"/>
      <c r="D1276" s="379"/>
      <c r="E1276" s="379"/>
      <c r="F1276" s="379"/>
      <c r="G1276" s="380"/>
    </row>
    <row r="1277" spans="1:7" s="373" customFormat="1" ht="13.8" x14ac:dyDescent="0.3">
      <c r="A1277" s="378"/>
      <c r="B1277" s="378"/>
      <c r="C1277" s="379"/>
      <c r="D1277" s="379"/>
      <c r="E1277" s="379"/>
      <c r="F1277" s="379"/>
      <c r="G1277" s="380"/>
    </row>
    <row r="1278" spans="1:7" s="373" customFormat="1" ht="13.8" x14ac:dyDescent="0.3">
      <c r="A1278" s="378"/>
      <c r="B1278" s="378"/>
      <c r="C1278" s="379"/>
      <c r="D1278" s="379"/>
      <c r="E1278" s="379"/>
      <c r="F1278" s="379"/>
      <c r="G1278" s="380"/>
    </row>
    <row r="1279" spans="1:7" s="373" customFormat="1" ht="13.8" x14ac:dyDescent="0.3">
      <c r="A1279" s="378"/>
      <c r="B1279" s="378"/>
      <c r="C1279" s="379"/>
      <c r="D1279" s="379"/>
      <c r="E1279" s="379"/>
      <c r="F1279" s="379"/>
      <c r="G1279" s="380"/>
    </row>
    <row r="1280" spans="1:7" s="373" customFormat="1" ht="13.8" x14ac:dyDescent="0.3">
      <c r="A1280" s="378"/>
      <c r="B1280" s="378"/>
      <c r="C1280" s="379"/>
      <c r="D1280" s="379"/>
      <c r="E1280" s="379"/>
      <c r="F1280" s="379"/>
      <c r="G1280" s="380"/>
    </row>
    <row r="1281" spans="1:7" s="373" customFormat="1" ht="13.8" x14ac:dyDescent="0.3">
      <c r="A1281" s="378"/>
      <c r="B1281" s="378"/>
      <c r="C1281" s="379"/>
      <c r="D1281" s="379"/>
      <c r="E1281" s="379"/>
      <c r="F1281" s="379"/>
      <c r="G1281" s="380"/>
    </row>
    <row r="1282" spans="1:7" s="373" customFormat="1" ht="13.8" x14ac:dyDescent="0.3">
      <c r="A1282" s="378"/>
      <c r="B1282" s="378"/>
      <c r="C1282" s="379"/>
      <c r="D1282" s="379"/>
      <c r="E1282" s="379"/>
      <c r="F1282" s="379"/>
      <c r="G1282" s="380"/>
    </row>
    <row r="1283" spans="1:7" s="373" customFormat="1" ht="13.8" x14ac:dyDescent="0.3">
      <c r="A1283" s="378"/>
      <c r="B1283" s="378"/>
      <c r="C1283" s="379"/>
      <c r="D1283" s="379"/>
      <c r="E1283" s="379"/>
      <c r="F1283" s="379"/>
      <c r="G1283" s="380"/>
    </row>
    <row r="1284" spans="1:7" s="373" customFormat="1" ht="13.8" x14ac:dyDescent="0.3">
      <c r="A1284" s="378"/>
      <c r="B1284" s="378"/>
      <c r="C1284" s="379"/>
      <c r="D1284" s="379"/>
      <c r="E1284" s="379"/>
      <c r="F1284" s="379"/>
      <c r="G1284" s="380"/>
    </row>
    <row r="1285" spans="1:7" s="373" customFormat="1" ht="13.8" x14ac:dyDescent="0.3">
      <c r="A1285" s="378"/>
      <c r="B1285" s="378"/>
      <c r="C1285" s="379"/>
      <c r="D1285" s="379"/>
      <c r="E1285" s="379"/>
      <c r="F1285" s="379"/>
      <c r="G1285" s="380"/>
    </row>
    <row r="1286" spans="1:7" s="373" customFormat="1" ht="13.8" x14ac:dyDescent="0.3">
      <c r="A1286" s="378"/>
      <c r="B1286" s="378"/>
      <c r="C1286" s="379"/>
      <c r="D1286" s="379"/>
      <c r="E1286" s="379"/>
      <c r="F1286" s="379"/>
      <c r="G1286" s="380"/>
    </row>
    <row r="1287" spans="1:7" s="373" customFormat="1" ht="13.8" x14ac:dyDescent="0.3">
      <c r="A1287" s="378"/>
      <c r="B1287" s="378"/>
      <c r="C1287" s="379"/>
      <c r="D1287" s="379"/>
      <c r="E1287" s="379"/>
      <c r="F1287" s="379"/>
      <c r="G1287" s="380"/>
    </row>
    <row r="1288" spans="1:7" s="373" customFormat="1" ht="13.8" x14ac:dyDescent="0.3">
      <c r="A1288" s="378"/>
      <c r="B1288" s="378"/>
      <c r="C1288" s="379"/>
      <c r="D1288" s="379"/>
      <c r="E1288" s="379"/>
      <c r="F1288" s="379"/>
      <c r="G1288" s="380"/>
    </row>
    <row r="1289" spans="1:7" s="373" customFormat="1" ht="13.8" x14ac:dyDescent="0.3">
      <c r="A1289" s="378"/>
      <c r="B1289" s="378"/>
      <c r="C1289" s="379"/>
      <c r="D1289" s="379"/>
      <c r="E1289" s="379"/>
      <c r="F1289" s="379"/>
      <c r="G1289" s="380"/>
    </row>
    <row r="1290" spans="1:7" s="373" customFormat="1" ht="13.8" x14ac:dyDescent="0.3">
      <c r="A1290" s="378"/>
      <c r="B1290" s="378"/>
      <c r="C1290" s="379"/>
      <c r="D1290" s="379"/>
      <c r="E1290" s="379"/>
      <c r="F1290" s="379"/>
      <c r="G1290" s="380"/>
    </row>
    <row r="1291" spans="1:7" s="373" customFormat="1" ht="13.8" x14ac:dyDescent="0.3">
      <c r="A1291" s="378"/>
      <c r="B1291" s="378"/>
      <c r="C1291" s="379"/>
      <c r="D1291" s="379"/>
      <c r="E1291" s="379"/>
      <c r="F1291" s="379"/>
      <c r="G1291" s="380"/>
    </row>
    <row r="1292" spans="1:7" s="373" customFormat="1" ht="13.8" x14ac:dyDescent="0.3">
      <c r="A1292" s="378"/>
      <c r="B1292" s="378"/>
      <c r="C1292" s="379"/>
      <c r="D1292" s="379"/>
      <c r="E1292" s="379"/>
      <c r="F1292" s="379"/>
      <c r="G1292" s="380"/>
    </row>
    <row r="1293" spans="1:7" s="373" customFormat="1" ht="13.8" x14ac:dyDescent="0.3">
      <c r="A1293" s="378"/>
      <c r="B1293" s="378"/>
      <c r="C1293" s="379"/>
      <c r="D1293" s="379"/>
      <c r="E1293" s="379"/>
      <c r="F1293" s="379"/>
      <c r="G1293" s="380"/>
    </row>
    <row r="1294" spans="1:7" s="373" customFormat="1" ht="13.8" x14ac:dyDescent="0.3">
      <c r="A1294" s="378"/>
      <c r="B1294" s="378"/>
      <c r="C1294" s="379"/>
      <c r="D1294" s="379"/>
      <c r="E1294" s="379"/>
      <c r="F1294" s="379"/>
      <c r="G1294" s="380"/>
    </row>
    <row r="1295" spans="1:7" s="373" customFormat="1" ht="13.8" x14ac:dyDescent="0.3">
      <c r="A1295" s="378"/>
      <c r="B1295" s="378"/>
      <c r="C1295" s="379"/>
      <c r="D1295" s="379"/>
      <c r="E1295" s="379"/>
      <c r="F1295" s="379"/>
      <c r="G1295" s="380"/>
    </row>
    <row r="1296" spans="1:7" s="373" customFormat="1" ht="13.8" x14ac:dyDescent="0.3">
      <c r="A1296" s="378"/>
      <c r="B1296" s="378"/>
      <c r="C1296" s="379"/>
      <c r="D1296" s="379"/>
      <c r="E1296" s="379"/>
      <c r="F1296" s="379"/>
      <c r="G1296" s="380"/>
    </row>
    <row r="1297" spans="1:7" s="373" customFormat="1" ht="13.8" x14ac:dyDescent="0.3">
      <c r="A1297" s="378"/>
      <c r="B1297" s="378"/>
      <c r="C1297" s="379"/>
      <c r="D1297" s="379"/>
      <c r="E1297" s="379"/>
      <c r="F1297" s="379"/>
      <c r="G1297" s="380"/>
    </row>
    <row r="1298" spans="1:7" s="373" customFormat="1" ht="13.8" x14ac:dyDescent="0.3">
      <c r="A1298" s="378"/>
      <c r="B1298" s="378"/>
      <c r="C1298" s="379"/>
      <c r="D1298" s="379"/>
      <c r="E1298" s="379"/>
      <c r="F1298" s="379"/>
      <c r="G1298" s="380"/>
    </row>
    <row r="1299" spans="1:7" s="373" customFormat="1" ht="13.8" x14ac:dyDescent="0.3">
      <c r="A1299" s="378"/>
      <c r="B1299" s="378"/>
      <c r="C1299" s="379"/>
      <c r="D1299" s="379"/>
      <c r="E1299" s="379"/>
      <c r="F1299" s="379"/>
      <c r="G1299" s="380"/>
    </row>
    <row r="1300" spans="1:7" s="373" customFormat="1" ht="13.8" x14ac:dyDescent="0.3">
      <c r="A1300" s="378"/>
      <c r="B1300" s="378"/>
      <c r="C1300" s="379"/>
      <c r="D1300" s="379"/>
      <c r="E1300" s="379"/>
      <c r="F1300" s="379"/>
      <c r="G1300" s="380"/>
    </row>
    <row r="1301" spans="1:7" s="373" customFormat="1" ht="13.8" x14ac:dyDescent="0.3">
      <c r="A1301" s="378"/>
      <c r="B1301" s="378"/>
      <c r="C1301" s="379"/>
      <c r="D1301" s="379"/>
      <c r="E1301" s="379"/>
      <c r="F1301" s="379"/>
      <c r="G1301" s="380"/>
    </row>
    <row r="1302" spans="1:7" s="373" customFormat="1" ht="13.8" x14ac:dyDescent="0.3">
      <c r="A1302" s="378"/>
      <c r="B1302" s="378"/>
      <c r="C1302" s="379"/>
      <c r="D1302" s="379"/>
      <c r="E1302" s="379"/>
      <c r="F1302" s="379"/>
      <c r="G1302" s="380"/>
    </row>
    <row r="1303" spans="1:7" s="373" customFormat="1" ht="13.8" x14ac:dyDescent="0.3">
      <c r="A1303" s="378"/>
      <c r="B1303" s="378"/>
      <c r="C1303" s="379"/>
      <c r="D1303" s="379"/>
      <c r="E1303" s="379"/>
      <c r="F1303" s="379"/>
      <c r="G1303" s="380"/>
    </row>
    <row r="1304" spans="1:7" s="373" customFormat="1" ht="13.8" x14ac:dyDescent="0.3">
      <c r="A1304" s="378"/>
      <c r="B1304" s="378"/>
      <c r="C1304" s="379"/>
      <c r="D1304" s="379"/>
      <c r="E1304" s="379"/>
      <c r="F1304" s="379"/>
      <c r="G1304" s="380"/>
    </row>
    <row r="1305" spans="1:7" s="373" customFormat="1" ht="13.8" x14ac:dyDescent="0.3">
      <c r="A1305" s="378"/>
      <c r="B1305" s="378"/>
      <c r="C1305" s="379"/>
      <c r="D1305" s="379"/>
      <c r="E1305" s="379"/>
      <c r="F1305" s="379"/>
      <c r="G1305" s="380"/>
    </row>
    <row r="1306" spans="1:7" s="373" customFormat="1" ht="13.8" x14ac:dyDescent="0.3">
      <c r="A1306" s="378"/>
      <c r="B1306" s="378"/>
      <c r="C1306" s="379"/>
      <c r="D1306" s="379"/>
      <c r="E1306" s="379"/>
      <c r="F1306" s="379"/>
      <c r="G1306" s="380"/>
    </row>
    <row r="1307" spans="1:7" s="373" customFormat="1" ht="13.8" x14ac:dyDescent="0.3">
      <c r="A1307" s="378"/>
      <c r="B1307" s="378"/>
      <c r="C1307" s="379"/>
      <c r="D1307" s="379"/>
      <c r="E1307" s="379"/>
      <c r="F1307" s="379"/>
      <c r="G1307" s="380"/>
    </row>
    <row r="1308" spans="1:7" s="373" customFormat="1" ht="13.8" x14ac:dyDescent="0.3">
      <c r="A1308" s="378"/>
      <c r="B1308" s="378"/>
      <c r="C1308" s="379"/>
      <c r="D1308" s="379"/>
      <c r="E1308" s="379"/>
      <c r="F1308" s="379"/>
      <c r="G1308" s="380"/>
    </row>
    <row r="1309" spans="1:7" s="373" customFormat="1" ht="13.8" x14ac:dyDescent="0.3">
      <c r="A1309" s="378"/>
      <c r="B1309" s="378"/>
      <c r="C1309" s="379"/>
      <c r="D1309" s="379"/>
      <c r="E1309" s="379"/>
      <c r="F1309" s="379"/>
      <c r="G1309" s="380"/>
    </row>
    <row r="1310" spans="1:7" s="373" customFormat="1" ht="13.8" x14ac:dyDescent="0.3">
      <c r="A1310" s="378"/>
      <c r="B1310" s="378"/>
      <c r="C1310" s="379"/>
      <c r="D1310" s="379"/>
      <c r="E1310" s="379"/>
      <c r="F1310" s="379"/>
      <c r="G1310" s="380"/>
    </row>
    <row r="1311" spans="1:7" s="373" customFormat="1" ht="13.8" x14ac:dyDescent="0.3">
      <c r="A1311" s="378"/>
      <c r="B1311" s="378"/>
      <c r="C1311" s="379"/>
      <c r="D1311" s="379"/>
      <c r="E1311" s="379"/>
      <c r="F1311" s="379"/>
      <c r="G1311" s="380"/>
    </row>
    <row r="1312" spans="1:7" s="373" customFormat="1" ht="13.8" x14ac:dyDescent="0.3">
      <c r="A1312" s="378"/>
      <c r="B1312" s="378"/>
      <c r="C1312" s="379"/>
      <c r="D1312" s="379"/>
      <c r="E1312" s="379"/>
      <c r="F1312" s="379"/>
      <c r="G1312" s="380"/>
    </row>
    <row r="1313" spans="1:7" s="373" customFormat="1" ht="13.8" x14ac:dyDescent="0.3">
      <c r="A1313" s="378"/>
      <c r="B1313" s="378"/>
      <c r="C1313" s="379"/>
      <c r="D1313" s="379"/>
      <c r="E1313" s="379"/>
      <c r="F1313" s="379"/>
      <c r="G1313" s="380"/>
    </row>
    <row r="1314" spans="1:7" s="373" customFormat="1" ht="13.8" x14ac:dyDescent="0.3">
      <c r="A1314" s="378"/>
      <c r="B1314" s="378"/>
      <c r="C1314" s="379"/>
      <c r="D1314" s="379"/>
      <c r="E1314" s="379"/>
      <c r="F1314" s="379"/>
      <c r="G1314" s="380"/>
    </row>
    <row r="1315" spans="1:7" s="373" customFormat="1" ht="13.8" x14ac:dyDescent="0.3">
      <c r="A1315" s="378"/>
      <c r="B1315" s="378"/>
      <c r="C1315" s="379"/>
      <c r="D1315" s="379"/>
      <c r="E1315" s="379"/>
      <c r="F1315" s="379"/>
      <c r="G1315" s="380"/>
    </row>
    <row r="1316" spans="1:7" s="373" customFormat="1" ht="13.8" x14ac:dyDescent="0.3">
      <c r="A1316" s="378"/>
      <c r="B1316" s="378"/>
      <c r="C1316" s="379"/>
      <c r="D1316" s="379"/>
      <c r="E1316" s="379"/>
      <c r="F1316" s="379"/>
      <c r="G1316" s="380"/>
    </row>
    <row r="1317" spans="1:7" s="373" customFormat="1" ht="13.8" x14ac:dyDescent="0.3">
      <c r="A1317" s="378"/>
      <c r="B1317" s="378"/>
      <c r="C1317" s="379"/>
      <c r="D1317" s="379"/>
      <c r="E1317" s="379"/>
      <c r="F1317" s="379"/>
      <c r="G1317" s="380"/>
    </row>
    <row r="1318" spans="1:7" s="373" customFormat="1" ht="13.8" x14ac:dyDescent="0.3">
      <c r="A1318" s="378"/>
      <c r="B1318" s="378"/>
      <c r="C1318" s="379"/>
      <c r="D1318" s="379"/>
      <c r="E1318" s="379"/>
      <c r="F1318" s="379"/>
      <c r="G1318" s="380"/>
    </row>
    <row r="1319" spans="1:7" s="373" customFormat="1" ht="13.8" x14ac:dyDescent="0.3">
      <c r="A1319" s="378"/>
      <c r="B1319" s="378"/>
      <c r="C1319" s="379"/>
      <c r="D1319" s="379"/>
      <c r="E1319" s="379"/>
      <c r="F1319" s="379"/>
      <c r="G1319" s="380"/>
    </row>
    <row r="1320" spans="1:7" s="373" customFormat="1" ht="13.8" x14ac:dyDescent="0.3">
      <c r="A1320" s="378"/>
      <c r="B1320" s="378"/>
      <c r="C1320" s="379"/>
      <c r="D1320" s="379"/>
      <c r="E1320" s="379"/>
      <c r="F1320" s="379"/>
      <c r="G1320" s="380"/>
    </row>
    <row r="1321" spans="1:7" s="373" customFormat="1" ht="13.8" x14ac:dyDescent="0.3">
      <c r="A1321" s="378"/>
      <c r="B1321" s="378"/>
      <c r="C1321" s="379"/>
      <c r="D1321" s="379"/>
      <c r="E1321" s="379"/>
      <c r="F1321" s="379"/>
      <c r="G1321" s="380"/>
    </row>
    <row r="1322" spans="1:7" s="373" customFormat="1" ht="13.8" x14ac:dyDescent="0.3">
      <c r="A1322" s="378"/>
      <c r="B1322" s="378"/>
      <c r="C1322" s="379"/>
      <c r="D1322" s="379"/>
      <c r="E1322" s="379"/>
      <c r="F1322" s="379"/>
      <c r="G1322" s="380"/>
    </row>
    <row r="1323" spans="1:7" s="373" customFormat="1" ht="13.8" x14ac:dyDescent="0.3">
      <c r="A1323" s="378"/>
      <c r="B1323" s="378"/>
      <c r="C1323" s="379"/>
      <c r="D1323" s="379"/>
      <c r="E1323" s="379"/>
      <c r="F1323" s="379"/>
      <c r="G1323" s="380"/>
    </row>
    <row r="1324" spans="1:7" s="373" customFormat="1" ht="13.8" x14ac:dyDescent="0.3">
      <c r="A1324" s="378"/>
      <c r="B1324" s="378"/>
      <c r="C1324" s="379"/>
      <c r="D1324" s="379"/>
      <c r="E1324" s="379"/>
      <c r="F1324" s="379"/>
      <c r="G1324" s="380"/>
    </row>
    <row r="1325" spans="1:7" s="373" customFormat="1" ht="13.8" x14ac:dyDescent="0.3">
      <c r="A1325" s="378"/>
      <c r="B1325" s="378"/>
      <c r="C1325" s="379"/>
      <c r="D1325" s="379"/>
      <c r="E1325" s="379"/>
      <c r="F1325" s="379"/>
      <c r="G1325" s="380"/>
    </row>
    <row r="1326" spans="1:7" s="373" customFormat="1" ht="13.8" x14ac:dyDescent="0.3">
      <c r="A1326" s="378"/>
      <c r="B1326" s="378"/>
      <c r="C1326" s="379"/>
      <c r="D1326" s="379"/>
      <c r="E1326" s="379"/>
      <c r="F1326" s="379"/>
      <c r="G1326" s="380"/>
    </row>
    <row r="1327" spans="1:7" s="373" customFormat="1" ht="13.8" x14ac:dyDescent="0.3">
      <c r="A1327" s="378"/>
      <c r="B1327" s="378"/>
      <c r="C1327" s="379"/>
      <c r="D1327" s="379"/>
      <c r="E1327" s="379"/>
      <c r="F1327" s="379"/>
      <c r="G1327" s="380"/>
    </row>
    <row r="1328" spans="1:7" s="373" customFormat="1" ht="13.8" x14ac:dyDescent="0.3">
      <c r="A1328" s="378"/>
      <c r="B1328" s="378"/>
      <c r="C1328" s="379"/>
      <c r="D1328" s="379"/>
      <c r="E1328" s="379"/>
      <c r="F1328" s="379"/>
      <c r="G1328" s="380"/>
    </row>
    <row r="1329" spans="1:7" s="373" customFormat="1" ht="13.8" x14ac:dyDescent="0.3">
      <c r="A1329" s="378"/>
      <c r="B1329" s="378"/>
      <c r="C1329" s="379"/>
      <c r="D1329" s="379"/>
      <c r="E1329" s="379"/>
      <c r="F1329" s="379"/>
      <c r="G1329" s="380"/>
    </row>
    <row r="1330" spans="1:7" s="373" customFormat="1" ht="13.8" x14ac:dyDescent="0.3">
      <c r="A1330" s="378"/>
      <c r="B1330" s="378"/>
      <c r="C1330" s="379"/>
      <c r="D1330" s="379"/>
      <c r="E1330" s="379"/>
      <c r="F1330" s="379"/>
      <c r="G1330" s="380"/>
    </row>
    <row r="1331" spans="1:7" s="373" customFormat="1" ht="13.8" x14ac:dyDescent="0.3">
      <c r="A1331" s="378"/>
      <c r="B1331" s="378"/>
      <c r="C1331" s="379"/>
      <c r="D1331" s="379"/>
      <c r="E1331" s="379"/>
      <c r="F1331" s="379"/>
      <c r="G1331" s="380"/>
    </row>
    <row r="1332" spans="1:7" s="373" customFormat="1" ht="13.8" x14ac:dyDescent="0.3">
      <c r="A1332" s="378"/>
      <c r="B1332" s="378"/>
      <c r="C1332" s="379"/>
      <c r="D1332" s="379"/>
      <c r="E1332" s="379"/>
      <c r="F1332" s="379"/>
      <c r="G1332" s="380"/>
    </row>
    <row r="1333" spans="1:7" s="373" customFormat="1" ht="13.8" x14ac:dyDescent="0.3">
      <c r="A1333" s="378"/>
      <c r="B1333" s="378"/>
      <c r="C1333" s="379"/>
      <c r="D1333" s="379"/>
      <c r="E1333" s="379"/>
      <c r="F1333" s="379"/>
      <c r="G1333" s="380"/>
    </row>
    <row r="1334" spans="1:7" s="373" customFormat="1" ht="13.8" x14ac:dyDescent="0.3">
      <c r="A1334" s="378"/>
      <c r="B1334" s="378"/>
      <c r="C1334" s="379"/>
      <c r="D1334" s="379"/>
      <c r="E1334" s="379"/>
      <c r="F1334" s="379"/>
      <c r="G1334" s="380"/>
    </row>
    <row r="1335" spans="1:7" s="373" customFormat="1" ht="13.8" x14ac:dyDescent="0.3">
      <c r="A1335" s="378"/>
      <c r="B1335" s="378"/>
      <c r="C1335" s="379"/>
      <c r="D1335" s="379"/>
      <c r="E1335" s="379"/>
      <c r="F1335" s="379"/>
      <c r="G1335" s="380"/>
    </row>
    <row r="1336" spans="1:7" s="373" customFormat="1" ht="13.8" x14ac:dyDescent="0.3">
      <c r="A1336" s="378"/>
      <c r="B1336" s="378"/>
      <c r="C1336" s="379"/>
      <c r="D1336" s="379"/>
      <c r="E1336" s="379"/>
      <c r="F1336" s="379"/>
      <c r="G1336" s="380"/>
    </row>
    <row r="1337" spans="1:7" s="373" customFormat="1" ht="13.8" x14ac:dyDescent="0.3">
      <c r="A1337" s="378"/>
      <c r="B1337" s="378"/>
      <c r="C1337" s="379"/>
      <c r="D1337" s="379"/>
      <c r="E1337" s="379"/>
      <c r="F1337" s="379"/>
      <c r="G1337" s="380"/>
    </row>
    <row r="1338" spans="1:7" s="373" customFormat="1" ht="13.8" x14ac:dyDescent="0.3">
      <c r="A1338" s="378"/>
      <c r="B1338" s="378"/>
      <c r="C1338" s="379"/>
      <c r="D1338" s="379"/>
      <c r="E1338" s="379"/>
      <c r="F1338" s="379"/>
      <c r="G1338" s="380"/>
    </row>
    <row r="1339" spans="1:7" s="373" customFormat="1" ht="13.8" x14ac:dyDescent="0.3">
      <c r="A1339" s="378"/>
      <c r="B1339" s="378"/>
      <c r="C1339" s="379"/>
      <c r="D1339" s="379"/>
      <c r="E1339" s="379"/>
      <c r="F1339" s="379"/>
      <c r="G1339" s="380"/>
    </row>
    <row r="1340" spans="1:7" s="373" customFormat="1" ht="13.8" x14ac:dyDescent="0.3">
      <c r="A1340" s="378"/>
      <c r="B1340" s="378"/>
      <c r="C1340" s="379"/>
      <c r="D1340" s="379"/>
      <c r="E1340" s="379"/>
      <c r="F1340" s="379"/>
      <c r="G1340" s="380"/>
    </row>
    <row r="1341" spans="1:7" s="373" customFormat="1" ht="13.8" x14ac:dyDescent="0.3">
      <c r="A1341" s="378"/>
      <c r="B1341" s="378"/>
      <c r="C1341" s="379"/>
      <c r="D1341" s="379"/>
      <c r="E1341" s="379"/>
      <c r="F1341" s="379"/>
      <c r="G1341" s="380"/>
    </row>
    <row r="1342" spans="1:7" s="373" customFormat="1" ht="13.8" x14ac:dyDescent="0.3">
      <c r="A1342" s="378"/>
      <c r="B1342" s="378"/>
      <c r="C1342" s="379"/>
      <c r="D1342" s="379"/>
      <c r="E1342" s="379"/>
      <c r="F1342" s="379"/>
      <c r="G1342" s="380"/>
    </row>
    <row r="1343" spans="1:7" s="373" customFormat="1" ht="13.8" x14ac:dyDescent="0.3">
      <c r="A1343" s="378"/>
      <c r="B1343" s="378"/>
      <c r="C1343" s="379"/>
      <c r="D1343" s="379"/>
      <c r="E1343" s="379"/>
      <c r="F1343" s="379"/>
      <c r="G1343" s="380"/>
    </row>
    <row r="1344" spans="1:7" s="373" customFormat="1" ht="13.8" x14ac:dyDescent="0.3">
      <c r="A1344" s="378"/>
      <c r="B1344" s="378"/>
      <c r="C1344" s="379"/>
      <c r="D1344" s="379"/>
      <c r="E1344" s="379"/>
      <c r="F1344" s="379"/>
      <c r="G1344" s="380"/>
    </row>
    <row r="1345" spans="1:7" s="373" customFormat="1" ht="13.8" x14ac:dyDescent="0.3">
      <c r="A1345" s="378"/>
      <c r="B1345" s="378"/>
      <c r="C1345" s="379"/>
      <c r="D1345" s="379"/>
      <c r="E1345" s="379"/>
      <c r="F1345" s="379"/>
      <c r="G1345" s="380"/>
    </row>
    <row r="1346" spans="1:7" s="373" customFormat="1" ht="13.8" x14ac:dyDescent="0.3">
      <c r="A1346" s="378"/>
      <c r="B1346" s="378"/>
      <c r="C1346" s="379"/>
      <c r="D1346" s="379"/>
      <c r="E1346" s="379"/>
      <c r="F1346" s="379"/>
      <c r="G1346" s="380"/>
    </row>
    <row r="1347" spans="1:7" s="373" customFormat="1" ht="13.8" x14ac:dyDescent="0.3">
      <c r="A1347" s="378"/>
      <c r="B1347" s="378"/>
      <c r="C1347" s="379"/>
      <c r="D1347" s="379"/>
      <c r="E1347" s="379"/>
      <c r="F1347" s="379"/>
      <c r="G1347" s="380"/>
    </row>
    <row r="1348" spans="1:7" s="373" customFormat="1" ht="13.8" x14ac:dyDescent="0.3">
      <c r="A1348" s="378"/>
      <c r="B1348" s="378"/>
      <c r="C1348" s="379"/>
      <c r="D1348" s="379"/>
      <c r="E1348" s="379"/>
      <c r="F1348" s="379"/>
      <c r="G1348" s="380"/>
    </row>
    <row r="1349" spans="1:7" s="373" customFormat="1" ht="13.8" x14ac:dyDescent="0.3">
      <c r="A1349" s="378"/>
      <c r="B1349" s="378"/>
      <c r="C1349" s="379"/>
      <c r="D1349" s="379"/>
      <c r="E1349" s="379"/>
      <c r="F1349" s="379"/>
      <c r="G1349" s="380"/>
    </row>
    <row r="1350" spans="1:7" s="373" customFormat="1" ht="13.8" x14ac:dyDescent="0.3">
      <c r="A1350" s="378"/>
      <c r="B1350" s="378"/>
      <c r="C1350" s="379"/>
      <c r="D1350" s="379"/>
      <c r="E1350" s="379"/>
      <c r="F1350" s="379"/>
      <c r="G1350" s="380"/>
    </row>
    <row r="1351" spans="1:7" s="373" customFormat="1" ht="13.8" x14ac:dyDescent="0.3">
      <c r="A1351" s="378"/>
      <c r="B1351" s="378"/>
      <c r="C1351" s="379"/>
      <c r="D1351" s="379"/>
      <c r="E1351" s="379"/>
      <c r="F1351" s="379"/>
      <c r="G1351" s="380"/>
    </row>
    <row r="1352" spans="1:7" s="373" customFormat="1" ht="13.8" x14ac:dyDescent="0.3">
      <c r="A1352" s="378"/>
      <c r="B1352" s="378"/>
      <c r="C1352" s="379"/>
      <c r="D1352" s="379"/>
      <c r="E1352" s="379"/>
      <c r="F1352" s="379"/>
      <c r="G1352" s="380"/>
    </row>
    <row r="1353" spans="1:7" s="373" customFormat="1" ht="13.8" x14ac:dyDescent="0.3">
      <c r="A1353" s="378"/>
      <c r="B1353" s="378"/>
      <c r="C1353" s="379"/>
      <c r="D1353" s="379"/>
      <c r="E1353" s="379"/>
      <c r="F1353" s="379"/>
      <c r="G1353" s="380"/>
    </row>
    <row r="1354" spans="1:7" s="373" customFormat="1" ht="13.8" x14ac:dyDescent="0.3">
      <c r="A1354" s="378"/>
      <c r="B1354" s="378"/>
      <c r="C1354" s="379"/>
      <c r="D1354" s="379"/>
      <c r="E1354" s="379"/>
      <c r="F1354" s="379"/>
      <c r="G1354" s="380"/>
    </row>
    <row r="1355" spans="1:7" s="373" customFormat="1" ht="13.8" x14ac:dyDescent="0.3">
      <c r="A1355" s="378"/>
      <c r="B1355" s="378"/>
      <c r="C1355" s="379"/>
      <c r="D1355" s="379"/>
      <c r="E1355" s="379"/>
      <c r="F1355" s="379"/>
      <c r="G1355" s="380"/>
    </row>
    <row r="1356" spans="1:7" s="373" customFormat="1" ht="13.8" x14ac:dyDescent="0.3">
      <c r="A1356" s="378"/>
      <c r="B1356" s="378"/>
      <c r="C1356" s="379"/>
      <c r="D1356" s="379"/>
      <c r="E1356" s="379"/>
      <c r="F1356" s="379"/>
      <c r="G1356" s="380"/>
    </row>
    <row r="1357" spans="1:7" s="373" customFormat="1" ht="13.8" x14ac:dyDescent="0.3">
      <c r="A1357" s="378"/>
      <c r="B1357" s="378"/>
      <c r="C1357" s="379"/>
      <c r="D1357" s="379"/>
      <c r="E1357" s="379"/>
      <c r="F1357" s="379"/>
      <c r="G1357" s="380"/>
    </row>
    <row r="1358" spans="1:7" s="373" customFormat="1" ht="13.8" x14ac:dyDescent="0.3">
      <c r="A1358" s="378"/>
      <c r="B1358" s="378"/>
      <c r="C1358" s="379"/>
      <c r="D1358" s="379"/>
      <c r="E1358" s="379"/>
      <c r="F1358" s="379"/>
      <c r="G1358" s="380"/>
    </row>
    <row r="1359" spans="1:7" s="373" customFormat="1" ht="13.8" x14ac:dyDescent="0.3">
      <c r="A1359" s="378"/>
      <c r="B1359" s="378"/>
      <c r="C1359" s="379"/>
      <c r="D1359" s="379"/>
      <c r="E1359" s="379"/>
      <c r="F1359" s="379"/>
      <c r="G1359" s="380"/>
    </row>
    <row r="1360" spans="1:7" s="373" customFormat="1" ht="13.8" x14ac:dyDescent="0.3">
      <c r="A1360" s="378"/>
      <c r="B1360" s="378"/>
      <c r="C1360" s="379"/>
      <c r="D1360" s="379"/>
      <c r="E1360" s="379"/>
      <c r="F1360" s="379"/>
      <c r="G1360" s="380"/>
    </row>
    <row r="1361" spans="1:7" s="373" customFormat="1" ht="13.8" x14ac:dyDescent="0.3">
      <c r="A1361" s="378"/>
      <c r="B1361" s="378"/>
      <c r="C1361" s="379"/>
      <c r="D1361" s="379"/>
      <c r="E1361" s="379"/>
      <c r="F1361" s="379"/>
      <c r="G1361" s="380"/>
    </row>
    <row r="1362" spans="1:7" s="373" customFormat="1" ht="13.8" x14ac:dyDescent="0.3">
      <c r="A1362" s="378"/>
      <c r="B1362" s="378"/>
      <c r="C1362" s="379"/>
      <c r="D1362" s="379"/>
      <c r="E1362" s="379"/>
      <c r="F1362" s="379"/>
      <c r="G1362" s="380"/>
    </row>
    <row r="1363" spans="1:7" s="373" customFormat="1" ht="13.8" x14ac:dyDescent="0.3">
      <c r="A1363" s="378"/>
      <c r="B1363" s="378"/>
      <c r="C1363" s="379"/>
      <c r="D1363" s="379"/>
      <c r="E1363" s="379"/>
      <c r="F1363" s="379"/>
      <c r="G1363" s="380"/>
    </row>
    <row r="1364" spans="1:7" s="373" customFormat="1" ht="13.8" x14ac:dyDescent="0.3">
      <c r="A1364" s="378"/>
      <c r="B1364" s="378"/>
      <c r="C1364" s="379"/>
      <c r="D1364" s="379"/>
      <c r="E1364" s="379"/>
      <c r="F1364" s="379"/>
      <c r="G1364" s="380"/>
    </row>
    <row r="1365" spans="1:7" s="373" customFormat="1" ht="13.8" x14ac:dyDescent="0.3">
      <c r="A1365" s="378"/>
      <c r="B1365" s="378"/>
      <c r="C1365" s="379"/>
      <c r="D1365" s="379"/>
      <c r="E1365" s="379"/>
      <c r="F1365" s="379"/>
      <c r="G1365" s="380"/>
    </row>
    <row r="1366" spans="1:7" s="373" customFormat="1" ht="13.8" x14ac:dyDescent="0.3">
      <c r="A1366" s="378"/>
      <c r="B1366" s="378"/>
      <c r="C1366" s="379"/>
      <c r="D1366" s="379"/>
      <c r="E1366" s="379"/>
      <c r="F1366" s="379"/>
      <c r="G1366" s="380"/>
    </row>
    <row r="1367" spans="1:7" s="373" customFormat="1" ht="13.8" x14ac:dyDescent="0.3">
      <c r="A1367" s="378"/>
      <c r="B1367" s="378"/>
      <c r="C1367" s="379"/>
      <c r="D1367" s="379"/>
      <c r="E1367" s="379"/>
      <c r="F1367" s="379"/>
      <c r="G1367" s="380"/>
    </row>
    <row r="1368" spans="1:7" s="373" customFormat="1" ht="13.8" x14ac:dyDescent="0.3">
      <c r="A1368" s="378"/>
      <c r="B1368" s="378"/>
      <c r="C1368" s="379"/>
      <c r="D1368" s="379"/>
      <c r="E1368" s="379"/>
      <c r="F1368" s="379"/>
      <c r="G1368" s="380"/>
    </row>
    <row r="1369" spans="1:7" s="373" customFormat="1" ht="13.8" x14ac:dyDescent="0.3">
      <c r="A1369" s="378"/>
      <c r="B1369" s="378"/>
      <c r="C1369" s="379"/>
      <c r="D1369" s="379"/>
      <c r="E1369" s="379"/>
      <c r="F1369" s="379"/>
      <c r="G1369" s="380"/>
    </row>
    <row r="1370" spans="1:7" s="373" customFormat="1" ht="13.8" x14ac:dyDescent="0.3">
      <c r="A1370" s="378"/>
      <c r="B1370" s="378"/>
      <c r="C1370" s="379"/>
      <c r="D1370" s="379"/>
      <c r="E1370" s="379"/>
      <c r="F1370" s="379"/>
      <c r="G1370" s="380"/>
    </row>
    <row r="1371" spans="1:7" s="373" customFormat="1" ht="13.8" x14ac:dyDescent="0.3">
      <c r="A1371" s="378"/>
      <c r="B1371" s="378"/>
      <c r="C1371" s="379"/>
      <c r="D1371" s="379"/>
      <c r="E1371" s="379"/>
      <c r="F1371" s="379"/>
      <c r="G1371" s="380"/>
    </row>
    <row r="1372" spans="1:7" s="373" customFormat="1" ht="13.8" x14ac:dyDescent="0.3">
      <c r="A1372" s="378"/>
      <c r="B1372" s="378"/>
      <c r="C1372" s="379"/>
      <c r="D1372" s="379"/>
      <c r="E1372" s="379"/>
      <c r="F1372" s="379"/>
      <c r="G1372" s="380"/>
    </row>
    <row r="1373" spans="1:7" s="373" customFormat="1" ht="13.8" x14ac:dyDescent="0.3">
      <c r="A1373" s="378"/>
      <c r="B1373" s="378"/>
      <c r="C1373" s="379"/>
      <c r="D1373" s="379"/>
      <c r="E1373" s="379"/>
      <c r="F1373" s="379"/>
      <c r="G1373" s="380"/>
    </row>
    <row r="1374" spans="1:7" s="373" customFormat="1" ht="13.8" x14ac:dyDescent="0.3">
      <c r="A1374" s="378"/>
      <c r="B1374" s="378"/>
      <c r="C1374" s="379"/>
      <c r="D1374" s="379"/>
      <c r="E1374" s="379"/>
      <c r="F1374" s="379"/>
      <c r="G1374" s="380"/>
    </row>
    <row r="1375" spans="1:7" s="373" customFormat="1" ht="13.8" x14ac:dyDescent="0.3">
      <c r="A1375" s="378"/>
      <c r="B1375" s="378"/>
      <c r="C1375" s="379"/>
      <c r="D1375" s="379"/>
      <c r="E1375" s="379"/>
      <c r="F1375" s="379"/>
      <c r="G1375" s="380"/>
    </row>
    <row r="1376" spans="1:7" s="373" customFormat="1" ht="13.8" x14ac:dyDescent="0.3">
      <c r="A1376" s="378"/>
      <c r="B1376" s="378"/>
      <c r="C1376" s="379"/>
      <c r="D1376" s="379"/>
      <c r="E1376" s="379"/>
      <c r="F1376" s="379"/>
      <c r="G1376" s="380"/>
    </row>
    <row r="1377" spans="1:7" s="373" customFormat="1" ht="13.8" x14ac:dyDescent="0.3">
      <c r="A1377" s="378"/>
      <c r="B1377" s="378"/>
      <c r="C1377" s="379"/>
      <c r="D1377" s="379"/>
      <c r="E1377" s="379"/>
      <c r="F1377" s="379"/>
      <c r="G1377" s="380"/>
    </row>
    <row r="1378" spans="1:7" s="373" customFormat="1" ht="13.8" x14ac:dyDescent="0.3">
      <c r="A1378" s="378"/>
      <c r="B1378" s="378"/>
      <c r="C1378" s="379"/>
      <c r="D1378" s="379"/>
      <c r="E1378" s="379"/>
      <c r="F1378" s="379"/>
      <c r="G1378" s="380"/>
    </row>
    <row r="1379" spans="1:7" s="373" customFormat="1" ht="13.8" x14ac:dyDescent="0.3">
      <c r="A1379" s="378"/>
      <c r="B1379" s="378"/>
      <c r="C1379" s="379"/>
      <c r="D1379" s="379"/>
      <c r="E1379" s="379"/>
      <c r="F1379" s="379"/>
      <c r="G1379" s="380"/>
    </row>
    <row r="1380" spans="1:7" s="373" customFormat="1" ht="13.8" x14ac:dyDescent="0.3">
      <c r="A1380" s="378"/>
      <c r="B1380" s="378"/>
      <c r="C1380" s="379"/>
      <c r="D1380" s="379"/>
      <c r="E1380" s="379"/>
      <c r="F1380" s="379"/>
      <c r="G1380" s="380"/>
    </row>
    <row r="1381" spans="1:7" s="373" customFormat="1" ht="13.8" x14ac:dyDescent="0.3">
      <c r="A1381" s="378"/>
      <c r="B1381" s="378"/>
      <c r="C1381" s="379"/>
      <c r="D1381" s="379"/>
      <c r="E1381" s="379"/>
      <c r="F1381" s="379"/>
      <c r="G1381" s="380"/>
    </row>
    <row r="1382" spans="1:7" s="373" customFormat="1" ht="13.8" x14ac:dyDescent="0.3">
      <c r="A1382" s="378"/>
      <c r="B1382" s="378"/>
      <c r="C1382" s="379"/>
      <c r="D1382" s="379"/>
      <c r="E1382" s="379"/>
      <c r="F1382" s="379"/>
      <c r="G1382" s="380"/>
    </row>
    <row r="1383" spans="1:7" s="373" customFormat="1" ht="13.8" x14ac:dyDescent="0.3">
      <c r="A1383" s="378"/>
      <c r="B1383" s="378"/>
      <c r="C1383" s="379"/>
      <c r="D1383" s="379"/>
      <c r="E1383" s="379"/>
      <c r="F1383" s="379"/>
      <c r="G1383" s="380"/>
    </row>
    <row r="1384" spans="1:7" s="373" customFormat="1" ht="13.8" x14ac:dyDescent="0.3">
      <c r="A1384" s="378"/>
      <c r="B1384" s="378"/>
      <c r="C1384" s="379"/>
      <c r="D1384" s="379"/>
      <c r="E1384" s="379"/>
      <c r="F1384" s="379"/>
      <c r="G1384" s="380"/>
    </row>
    <row r="1385" spans="1:7" s="373" customFormat="1" ht="13.8" x14ac:dyDescent="0.3">
      <c r="A1385" s="378"/>
      <c r="B1385" s="378"/>
      <c r="C1385" s="379"/>
      <c r="D1385" s="379"/>
      <c r="E1385" s="379"/>
      <c r="F1385" s="379"/>
      <c r="G1385" s="380"/>
    </row>
    <row r="1386" spans="1:7" s="373" customFormat="1" ht="13.8" x14ac:dyDescent="0.3">
      <c r="A1386" s="378"/>
      <c r="B1386" s="378"/>
      <c r="C1386" s="379"/>
      <c r="D1386" s="379"/>
      <c r="E1386" s="379"/>
      <c r="F1386" s="379"/>
      <c r="G1386" s="380"/>
    </row>
    <row r="1387" spans="1:7" s="373" customFormat="1" ht="13.8" x14ac:dyDescent="0.3">
      <c r="A1387" s="378"/>
      <c r="B1387" s="378"/>
      <c r="C1387" s="379"/>
      <c r="D1387" s="379"/>
      <c r="E1387" s="379"/>
      <c r="F1387" s="379"/>
      <c r="G1387" s="380"/>
    </row>
    <row r="1388" spans="1:7" s="373" customFormat="1" ht="13.8" x14ac:dyDescent="0.3">
      <c r="A1388" s="378"/>
      <c r="B1388" s="378"/>
      <c r="C1388" s="379"/>
      <c r="D1388" s="379"/>
      <c r="E1388" s="379"/>
      <c r="F1388" s="379"/>
      <c r="G1388" s="380"/>
    </row>
    <row r="1389" spans="1:7" s="373" customFormat="1" ht="13.8" x14ac:dyDescent="0.3">
      <c r="A1389" s="378"/>
      <c r="B1389" s="378"/>
      <c r="C1389" s="379"/>
      <c r="D1389" s="379"/>
      <c r="E1389" s="379"/>
      <c r="F1389" s="379"/>
      <c r="G1389" s="380"/>
    </row>
    <row r="1390" spans="1:7" s="373" customFormat="1" ht="13.8" x14ac:dyDescent="0.3">
      <c r="A1390" s="378"/>
      <c r="B1390" s="378"/>
      <c r="C1390" s="379"/>
      <c r="D1390" s="379"/>
      <c r="E1390" s="379"/>
      <c r="F1390" s="379"/>
      <c r="G1390" s="380"/>
    </row>
    <row r="1391" spans="1:7" s="373" customFormat="1" ht="13.8" x14ac:dyDescent="0.3">
      <c r="A1391" s="378"/>
      <c r="B1391" s="378"/>
      <c r="C1391" s="379"/>
      <c r="D1391" s="379"/>
      <c r="E1391" s="379"/>
      <c r="F1391" s="379"/>
      <c r="G1391" s="380"/>
    </row>
    <row r="1392" spans="1:7" s="373" customFormat="1" ht="13.8" x14ac:dyDescent="0.3">
      <c r="A1392" s="378"/>
      <c r="B1392" s="378"/>
      <c r="C1392" s="379"/>
      <c r="D1392" s="379"/>
      <c r="E1392" s="379"/>
      <c r="F1392" s="379"/>
      <c r="G1392" s="380"/>
    </row>
    <row r="1393" spans="1:7" s="373" customFormat="1" ht="13.8" x14ac:dyDescent="0.3">
      <c r="A1393" s="378"/>
      <c r="B1393" s="378"/>
      <c r="C1393" s="379"/>
      <c r="D1393" s="379"/>
      <c r="E1393" s="379"/>
      <c r="F1393" s="379"/>
      <c r="G1393" s="380"/>
    </row>
    <row r="1394" spans="1:7" s="373" customFormat="1" ht="13.8" x14ac:dyDescent="0.3">
      <c r="A1394" s="378"/>
      <c r="B1394" s="378"/>
      <c r="C1394" s="379"/>
      <c r="D1394" s="379"/>
      <c r="E1394" s="379"/>
      <c r="F1394" s="379"/>
      <c r="G1394" s="380"/>
    </row>
    <row r="1395" spans="1:7" s="373" customFormat="1" ht="13.8" x14ac:dyDescent="0.3">
      <c r="A1395" s="378"/>
      <c r="B1395" s="378"/>
      <c r="C1395" s="379"/>
      <c r="D1395" s="379"/>
      <c r="E1395" s="379"/>
      <c r="F1395" s="379"/>
      <c r="G1395" s="380"/>
    </row>
    <row r="1396" spans="1:7" s="373" customFormat="1" ht="13.8" x14ac:dyDescent="0.3">
      <c r="A1396" s="378"/>
      <c r="B1396" s="378"/>
      <c r="C1396" s="379"/>
      <c r="D1396" s="379"/>
      <c r="E1396" s="379"/>
      <c r="F1396" s="379"/>
      <c r="G1396" s="380"/>
    </row>
    <row r="1397" spans="1:7" s="373" customFormat="1" ht="13.8" x14ac:dyDescent="0.3">
      <c r="A1397" s="378"/>
      <c r="B1397" s="378"/>
      <c r="C1397" s="379"/>
      <c r="D1397" s="379"/>
      <c r="E1397" s="379"/>
      <c r="F1397" s="379"/>
      <c r="G1397" s="380"/>
    </row>
    <row r="1398" spans="1:7" s="373" customFormat="1" ht="13.8" x14ac:dyDescent="0.3">
      <c r="A1398" s="378"/>
      <c r="B1398" s="378"/>
      <c r="C1398" s="379"/>
      <c r="D1398" s="379"/>
      <c r="E1398" s="379"/>
      <c r="F1398" s="379"/>
      <c r="G1398" s="380"/>
    </row>
    <row r="1399" spans="1:7" s="373" customFormat="1" ht="13.8" x14ac:dyDescent="0.3">
      <c r="A1399" s="378"/>
      <c r="B1399" s="378"/>
      <c r="C1399" s="379"/>
      <c r="D1399" s="379"/>
      <c r="E1399" s="379"/>
      <c r="F1399" s="379"/>
      <c r="G1399" s="380"/>
    </row>
    <row r="1400" spans="1:7" s="373" customFormat="1" ht="13.8" x14ac:dyDescent="0.3">
      <c r="A1400" s="378"/>
      <c r="B1400" s="378"/>
      <c r="C1400" s="379"/>
      <c r="D1400" s="379"/>
      <c r="E1400" s="379"/>
      <c r="F1400" s="379"/>
      <c r="G1400" s="380"/>
    </row>
    <row r="1401" spans="1:7" s="373" customFormat="1" ht="13.8" x14ac:dyDescent="0.3">
      <c r="A1401" s="378"/>
      <c r="B1401" s="378"/>
      <c r="C1401" s="379"/>
      <c r="D1401" s="379"/>
      <c r="E1401" s="379"/>
      <c r="F1401" s="379"/>
      <c r="G1401" s="380"/>
    </row>
    <row r="1402" spans="1:7" s="373" customFormat="1" ht="13.8" x14ac:dyDescent="0.3">
      <c r="A1402" s="378"/>
      <c r="B1402" s="378"/>
      <c r="C1402" s="379"/>
      <c r="D1402" s="379"/>
      <c r="E1402" s="379"/>
      <c r="F1402" s="379"/>
      <c r="G1402" s="380"/>
    </row>
    <row r="1403" spans="1:7" s="373" customFormat="1" ht="13.8" x14ac:dyDescent="0.3">
      <c r="A1403" s="378"/>
      <c r="B1403" s="378"/>
      <c r="C1403" s="379"/>
      <c r="D1403" s="379"/>
      <c r="E1403" s="379"/>
      <c r="F1403" s="379"/>
      <c r="G1403" s="380"/>
    </row>
    <row r="1404" spans="1:7" s="373" customFormat="1" ht="13.8" x14ac:dyDescent="0.3">
      <c r="A1404" s="378"/>
      <c r="B1404" s="378"/>
      <c r="C1404" s="379"/>
      <c r="D1404" s="379"/>
      <c r="E1404" s="379"/>
      <c r="F1404" s="379"/>
      <c r="G1404" s="380"/>
    </row>
    <row r="1405" spans="1:7" s="373" customFormat="1" ht="13.8" x14ac:dyDescent="0.3">
      <c r="A1405" s="378"/>
      <c r="B1405" s="378"/>
      <c r="C1405" s="379"/>
      <c r="D1405" s="379"/>
      <c r="E1405" s="379"/>
      <c r="F1405" s="379"/>
      <c r="G1405" s="380"/>
    </row>
    <row r="1406" spans="1:7" s="373" customFormat="1" ht="13.8" x14ac:dyDescent="0.3">
      <c r="A1406" s="378"/>
      <c r="B1406" s="378"/>
      <c r="C1406" s="379"/>
      <c r="D1406" s="379"/>
      <c r="E1406" s="379"/>
      <c r="F1406" s="379"/>
      <c r="G1406" s="380"/>
    </row>
    <row r="1407" spans="1:7" s="373" customFormat="1" ht="13.8" x14ac:dyDescent="0.3">
      <c r="A1407" s="378"/>
      <c r="B1407" s="378"/>
      <c r="C1407" s="379"/>
      <c r="D1407" s="379"/>
      <c r="E1407" s="379"/>
      <c r="F1407" s="379"/>
      <c r="G1407" s="380"/>
    </row>
    <row r="1408" spans="1:7" s="373" customFormat="1" ht="13.8" x14ac:dyDescent="0.3">
      <c r="A1408" s="378"/>
      <c r="B1408" s="378"/>
      <c r="C1408" s="379"/>
      <c r="D1408" s="379"/>
      <c r="E1408" s="379"/>
      <c r="F1408" s="379"/>
      <c r="G1408" s="380"/>
    </row>
    <row r="1409" spans="1:7" s="373" customFormat="1" ht="13.8" x14ac:dyDescent="0.3">
      <c r="A1409" s="378"/>
      <c r="B1409" s="378"/>
      <c r="C1409" s="379"/>
      <c r="D1409" s="379"/>
      <c r="E1409" s="379"/>
      <c r="F1409" s="379"/>
      <c r="G1409" s="380"/>
    </row>
    <row r="1410" spans="1:7" s="373" customFormat="1" ht="13.8" x14ac:dyDescent="0.3">
      <c r="A1410" s="378"/>
      <c r="B1410" s="378"/>
      <c r="C1410" s="379"/>
      <c r="D1410" s="379"/>
      <c r="E1410" s="379"/>
      <c r="F1410" s="379"/>
      <c r="G1410" s="380"/>
    </row>
    <row r="1411" spans="1:7" s="373" customFormat="1" ht="13.8" x14ac:dyDescent="0.3">
      <c r="A1411" s="378"/>
      <c r="B1411" s="378"/>
      <c r="C1411" s="379"/>
      <c r="D1411" s="379"/>
      <c r="E1411" s="379"/>
      <c r="F1411" s="379"/>
      <c r="G1411" s="380"/>
    </row>
    <row r="1412" spans="1:7" s="373" customFormat="1" ht="13.8" x14ac:dyDescent="0.3">
      <c r="A1412" s="378"/>
      <c r="B1412" s="378"/>
      <c r="C1412" s="379"/>
      <c r="D1412" s="379"/>
      <c r="E1412" s="379"/>
      <c r="F1412" s="379"/>
      <c r="G1412" s="380"/>
    </row>
    <row r="1413" spans="1:7" s="373" customFormat="1" ht="13.8" x14ac:dyDescent="0.3">
      <c r="A1413" s="378"/>
      <c r="B1413" s="378"/>
      <c r="C1413" s="379"/>
      <c r="D1413" s="379"/>
      <c r="E1413" s="379"/>
      <c r="F1413" s="379"/>
      <c r="G1413" s="380"/>
    </row>
    <row r="1414" spans="1:7" s="373" customFormat="1" ht="13.8" x14ac:dyDescent="0.3">
      <c r="A1414" s="378"/>
      <c r="B1414" s="378"/>
      <c r="C1414" s="379"/>
      <c r="D1414" s="379"/>
      <c r="E1414" s="379"/>
      <c r="F1414" s="379"/>
      <c r="G1414" s="380"/>
    </row>
    <row r="1415" spans="1:7" s="373" customFormat="1" ht="13.8" x14ac:dyDescent="0.3">
      <c r="A1415" s="378"/>
      <c r="B1415" s="378"/>
      <c r="C1415" s="379"/>
      <c r="D1415" s="379"/>
      <c r="E1415" s="379"/>
      <c r="F1415" s="379"/>
      <c r="G1415" s="380"/>
    </row>
    <row r="1416" spans="1:7" s="373" customFormat="1" ht="13.8" x14ac:dyDescent="0.3">
      <c r="A1416" s="378"/>
      <c r="B1416" s="378"/>
      <c r="C1416" s="379"/>
      <c r="D1416" s="379"/>
      <c r="E1416" s="379"/>
      <c r="F1416" s="379"/>
      <c r="G1416" s="380"/>
    </row>
    <row r="1417" spans="1:7" s="373" customFormat="1" ht="13.8" x14ac:dyDescent="0.3">
      <c r="A1417" s="378"/>
      <c r="B1417" s="378"/>
      <c r="C1417" s="379"/>
      <c r="D1417" s="379"/>
      <c r="E1417" s="379"/>
      <c r="F1417" s="379"/>
      <c r="G1417" s="380"/>
    </row>
    <row r="1418" spans="1:7" s="373" customFormat="1" ht="13.8" x14ac:dyDescent="0.3">
      <c r="A1418" s="378"/>
      <c r="B1418" s="378"/>
      <c r="C1418" s="379"/>
      <c r="D1418" s="379"/>
      <c r="E1418" s="379"/>
      <c r="F1418" s="379"/>
      <c r="G1418" s="380"/>
    </row>
    <row r="1419" spans="1:7" s="373" customFormat="1" ht="13.8" x14ac:dyDescent="0.3">
      <c r="A1419" s="378"/>
      <c r="B1419" s="378"/>
      <c r="C1419" s="379"/>
      <c r="D1419" s="379"/>
      <c r="E1419" s="379"/>
      <c r="F1419" s="379"/>
      <c r="G1419" s="380"/>
    </row>
    <row r="1420" spans="1:7" s="373" customFormat="1" ht="13.8" x14ac:dyDescent="0.3">
      <c r="A1420" s="378"/>
      <c r="B1420" s="378"/>
      <c r="C1420" s="379"/>
      <c r="D1420" s="379"/>
      <c r="E1420" s="379"/>
      <c r="F1420" s="379"/>
      <c r="G1420" s="380"/>
    </row>
    <row r="1421" spans="1:7" s="373" customFormat="1" ht="13.8" x14ac:dyDescent="0.3">
      <c r="A1421" s="378"/>
      <c r="B1421" s="378"/>
      <c r="C1421" s="379"/>
      <c r="D1421" s="379"/>
      <c r="E1421" s="379"/>
      <c r="F1421" s="379"/>
      <c r="G1421" s="380"/>
    </row>
    <row r="1422" spans="1:7" s="373" customFormat="1" ht="13.8" x14ac:dyDescent="0.3">
      <c r="A1422" s="378"/>
      <c r="B1422" s="378"/>
      <c r="C1422" s="379"/>
      <c r="D1422" s="379"/>
      <c r="E1422" s="379"/>
      <c r="F1422" s="379"/>
      <c r="G1422" s="380"/>
    </row>
    <row r="1423" spans="1:7" s="373" customFormat="1" ht="13.8" x14ac:dyDescent="0.3">
      <c r="A1423" s="378"/>
      <c r="B1423" s="378"/>
      <c r="C1423" s="379"/>
      <c r="D1423" s="379"/>
      <c r="E1423" s="379"/>
      <c r="F1423" s="379"/>
      <c r="G1423" s="380"/>
    </row>
    <row r="1424" spans="1:7" s="373" customFormat="1" ht="13.8" x14ac:dyDescent="0.3">
      <c r="A1424" s="378"/>
      <c r="B1424" s="378"/>
      <c r="C1424" s="379"/>
      <c r="D1424" s="379"/>
      <c r="E1424" s="379"/>
      <c r="F1424" s="379"/>
      <c r="G1424" s="380"/>
    </row>
    <row r="1425" spans="1:7" s="373" customFormat="1" ht="13.8" x14ac:dyDescent="0.3">
      <c r="A1425" s="378"/>
      <c r="B1425" s="378"/>
      <c r="C1425" s="379"/>
      <c r="D1425" s="379"/>
      <c r="E1425" s="379"/>
      <c r="F1425" s="379"/>
      <c r="G1425" s="380"/>
    </row>
    <row r="1426" spans="1:7" s="373" customFormat="1" ht="13.8" x14ac:dyDescent="0.3">
      <c r="A1426" s="378"/>
      <c r="B1426" s="378"/>
      <c r="C1426" s="379"/>
      <c r="D1426" s="379"/>
      <c r="E1426" s="379"/>
      <c r="F1426" s="379"/>
      <c r="G1426" s="380"/>
    </row>
    <row r="1427" spans="1:7" s="373" customFormat="1" ht="13.8" x14ac:dyDescent="0.3">
      <c r="A1427" s="378"/>
      <c r="B1427" s="378"/>
      <c r="C1427" s="379"/>
      <c r="D1427" s="379"/>
      <c r="E1427" s="379"/>
      <c r="F1427" s="379"/>
      <c r="G1427" s="380"/>
    </row>
    <row r="1428" spans="1:7" s="373" customFormat="1" ht="13.8" x14ac:dyDescent="0.3">
      <c r="A1428" s="378"/>
      <c r="B1428" s="378"/>
      <c r="C1428" s="379"/>
      <c r="D1428" s="379"/>
      <c r="E1428" s="379"/>
      <c r="F1428" s="379"/>
      <c r="G1428" s="380"/>
    </row>
    <row r="1429" spans="1:7" s="373" customFormat="1" ht="13.8" x14ac:dyDescent="0.3">
      <c r="A1429" s="378"/>
      <c r="B1429" s="378"/>
      <c r="C1429" s="379"/>
      <c r="D1429" s="379"/>
      <c r="E1429" s="379"/>
      <c r="F1429" s="379"/>
      <c r="G1429" s="380"/>
    </row>
    <row r="1430" spans="1:7" s="373" customFormat="1" ht="13.8" x14ac:dyDescent="0.3">
      <c r="A1430" s="378"/>
      <c r="B1430" s="378"/>
      <c r="C1430" s="379"/>
      <c r="D1430" s="379"/>
      <c r="E1430" s="379"/>
      <c r="F1430" s="379"/>
      <c r="G1430" s="380"/>
    </row>
    <row r="1431" spans="1:7" s="373" customFormat="1" ht="13.8" x14ac:dyDescent="0.3">
      <c r="A1431" s="378"/>
      <c r="B1431" s="378"/>
      <c r="C1431" s="379"/>
      <c r="D1431" s="379"/>
      <c r="E1431" s="379"/>
      <c r="F1431" s="379"/>
      <c r="G1431" s="380"/>
    </row>
    <row r="1432" spans="1:7" s="373" customFormat="1" ht="13.8" x14ac:dyDescent="0.3">
      <c r="A1432" s="378"/>
      <c r="B1432" s="378"/>
      <c r="C1432" s="379"/>
      <c r="D1432" s="379"/>
      <c r="E1432" s="379"/>
      <c r="F1432" s="379"/>
      <c r="G1432" s="380"/>
    </row>
    <row r="1433" spans="1:7" s="373" customFormat="1" ht="13.8" x14ac:dyDescent="0.3">
      <c r="A1433" s="378"/>
      <c r="B1433" s="378"/>
      <c r="C1433" s="379"/>
      <c r="D1433" s="379"/>
      <c r="E1433" s="379"/>
      <c r="F1433" s="379"/>
      <c r="G1433" s="380"/>
    </row>
    <row r="1434" spans="1:7" s="373" customFormat="1" ht="13.8" x14ac:dyDescent="0.3">
      <c r="A1434" s="378"/>
      <c r="B1434" s="378"/>
      <c r="C1434" s="379"/>
      <c r="D1434" s="379"/>
      <c r="E1434" s="379"/>
      <c r="F1434" s="379"/>
      <c r="G1434" s="380"/>
    </row>
    <row r="1435" spans="1:7" s="373" customFormat="1" ht="13.8" x14ac:dyDescent="0.3">
      <c r="A1435" s="378"/>
      <c r="B1435" s="378"/>
      <c r="C1435" s="379"/>
      <c r="D1435" s="379"/>
      <c r="E1435" s="379"/>
      <c r="F1435" s="379"/>
      <c r="G1435" s="380"/>
    </row>
    <row r="1436" spans="1:7" s="373" customFormat="1" ht="13.8" x14ac:dyDescent="0.3">
      <c r="A1436" s="378"/>
      <c r="B1436" s="378"/>
      <c r="C1436" s="379"/>
      <c r="D1436" s="379"/>
      <c r="E1436" s="379"/>
      <c r="F1436" s="379"/>
      <c r="G1436" s="380"/>
    </row>
    <row r="1437" spans="1:7" s="373" customFormat="1" ht="13.8" x14ac:dyDescent="0.3">
      <c r="A1437" s="378"/>
      <c r="B1437" s="378"/>
      <c r="C1437" s="379"/>
      <c r="D1437" s="379"/>
      <c r="E1437" s="379"/>
      <c r="F1437" s="379"/>
      <c r="G1437" s="380"/>
    </row>
    <row r="1438" spans="1:7" s="373" customFormat="1" ht="13.8" x14ac:dyDescent="0.3">
      <c r="A1438" s="378"/>
      <c r="B1438" s="378"/>
      <c r="C1438" s="379"/>
      <c r="D1438" s="379"/>
      <c r="E1438" s="379"/>
      <c r="F1438" s="379"/>
      <c r="G1438" s="380"/>
    </row>
    <row r="1439" spans="1:7" s="373" customFormat="1" ht="13.8" x14ac:dyDescent="0.3">
      <c r="A1439" s="378"/>
      <c r="B1439" s="378"/>
      <c r="C1439" s="379"/>
      <c r="D1439" s="379"/>
      <c r="E1439" s="379"/>
      <c r="F1439" s="379"/>
      <c r="G1439" s="380"/>
    </row>
    <row r="1440" spans="1:7" s="373" customFormat="1" ht="13.8" x14ac:dyDescent="0.3">
      <c r="A1440" s="378"/>
      <c r="B1440" s="378"/>
      <c r="C1440" s="379"/>
      <c r="D1440" s="379"/>
      <c r="E1440" s="379"/>
      <c r="F1440" s="379"/>
      <c r="G1440" s="380"/>
    </row>
    <row r="1441" spans="1:7" s="373" customFormat="1" ht="13.8" x14ac:dyDescent="0.3">
      <c r="A1441" s="378"/>
      <c r="B1441" s="378"/>
      <c r="C1441" s="379"/>
      <c r="D1441" s="379"/>
      <c r="E1441" s="379"/>
      <c r="F1441" s="379"/>
      <c r="G1441" s="380"/>
    </row>
    <row r="1442" spans="1:7" s="373" customFormat="1" ht="13.8" x14ac:dyDescent="0.3">
      <c r="A1442" s="378"/>
      <c r="B1442" s="378"/>
      <c r="C1442" s="379"/>
      <c r="D1442" s="379"/>
      <c r="E1442" s="379"/>
      <c r="F1442" s="379"/>
      <c r="G1442" s="380"/>
    </row>
    <row r="1443" spans="1:7" s="373" customFormat="1" ht="13.8" x14ac:dyDescent="0.3">
      <c r="A1443" s="378"/>
      <c r="B1443" s="378"/>
      <c r="C1443" s="379"/>
      <c r="D1443" s="379"/>
      <c r="E1443" s="379"/>
      <c r="F1443" s="379"/>
      <c r="G1443" s="380"/>
    </row>
    <row r="1444" spans="1:7" s="373" customFormat="1" ht="13.8" x14ac:dyDescent="0.3">
      <c r="A1444" s="378"/>
      <c r="B1444" s="378"/>
      <c r="C1444" s="379"/>
      <c r="D1444" s="379"/>
      <c r="E1444" s="379"/>
      <c r="F1444" s="379"/>
      <c r="G1444" s="380"/>
    </row>
    <row r="1445" spans="1:7" s="373" customFormat="1" ht="13.8" x14ac:dyDescent="0.3">
      <c r="A1445" s="378"/>
      <c r="B1445" s="378"/>
      <c r="C1445" s="379"/>
      <c r="D1445" s="379"/>
      <c r="E1445" s="379"/>
      <c r="F1445" s="379"/>
      <c r="G1445" s="380"/>
    </row>
    <row r="1446" spans="1:7" s="373" customFormat="1" ht="13.8" x14ac:dyDescent="0.3">
      <c r="A1446" s="378"/>
      <c r="B1446" s="378"/>
      <c r="C1446" s="379"/>
      <c r="D1446" s="379"/>
      <c r="E1446" s="379"/>
      <c r="F1446" s="379"/>
      <c r="G1446" s="380"/>
    </row>
    <row r="1447" spans="1:7" s="373" customFormat="1" ht="13.8" x14ac:dyDescent="0.3">
      <c r="A1447" s="378"/>
      <c r="B1447" s="378"/>
      <c r="C1447" s="379"/>
      <c r="D1447" s="379"/>
      <c r="E1447" s="379"/>
      <c r="F1447" s="379"/>
      <c r="G1447" s="380"/>
    </row>
    <row r="1448" spans="1:7" s="373" customFormat="1" ht="13.8" x14ac:dyDescent="0.3">
      <c r="A1448" s="378"/>
      <c r="B1448" s="378"/>
      <c r="C1448" s="379"/>
      <c r="D1448" s="379"/>
      <c r="E1448" s="379"/>
      <c r="F1448" s="379"/>
      <c r="G1448" s="380"/>
    </row>
    <row r="1449" spans="1:7" s="373" customFormat="1" ht="13.8" x14ac:dyDescent="0.3">
      <c r="A1449" s="378"/>
      <c r="B1449" s="378"/>
      <c r="C1449" s="379"/>
      <c r="D1449" s="379"/>
      <c r="E1449" s="379"/>
      <c r="F1449" s="379"/>
      <c r="G1449" s="380"/>
    </row>
    <row r="1450" spans="1:7" s="373" customFormat="1" ht="13.8" x14ac:dyDescent="0.3">
      <c r="A1450" s="378"/>
      <c r="B1450" s="378"/>
      <c r="C1450" s="379"/>
      <c r="D1450" s="379"/>
      <c r="E1450" s="379"/>
      <c r="F1450" s="379"/>
      <c r="G1450" s="380"/>
    </row>
    <row r="1451" spans="1:7" s="373" customFormat="1" ht="13.8" x14ac:dyDescent="0.3">
      <c r="A1451" s="378"/>
      <c r="B1451" s="378"/>
      <c r="C1451" s="379"/>
      <c r="D1451" s="379"/>
      <c r="E1451" s="379"/>
      <c r="F1451" s="379"/>
      <c r="G1451" s="380"/>
    </row>
    <row r="1452" spans="1:7" s="373" customFormat="1" ht="13.8" x14ac:dyDescent="0.3">
      <c r="A1452" s="378"/>
      <c r="B1452" s="378"/>
      <c r="C1452" s="379"/>
      <c r="D1452" s="379"/>
      <c r="E1452" s="379"/>
      <c r="F1452" s="379"/>
      <c r="G1452" s="380"/>
    </row>
    <row r="1453" spans="1:7" s="373" customFormat="1" ht="13.8" x14ac:dyDescent="0.3">
      <c r="A1453" s="378"/>
      <c r="B1453" s="378"/>
      <c r="C1453" s="379"/>
      <c r="D1453" s="379"/>
      <c r="E1453" s="379"/>
      <c r="F1453" s="379"/>
      <c r="G1453" s="380"/>
    </row>
    <row r="1454" spans="1:7" s="373" customFormat="1" ht="13.8" x14ac:dyDescent="0.3">
      <c r="A1454" s="378"/>
      <c r="B1454" s="378"/>
      <c r="C1454" s="379"/>
      <c r="D1454" s="379"/>
      <c r="E1454" s="379"/>
      <c r="F1454" s="379"/>
      <c r="G1454" s="380"/>
    </row>
    <row r="1455" spans="1:7" s="373" customFormat="1" ht="13.8" x14ac:dyDescent="0.3">
      <c r="A1455" s="378"/>
      <c r="B1455" s="378"/>
      <c r="C1455" s="379"/>
      <c r="D1455" s="379"/>
      <c r="E1455" s="379"/>
      <c r="F1455" s="379"/>
      <c r="G1455" s="380"/>
    </row>
    <row r="1456" spans="1:7" s="373" customFormat="1" ht="13.8" x14ac:dyDescent="0.3">
      <c r="A1456" s="378"/>
      <c r="B1456" s="378"/>
      <c r="C1456" s="379"/>
      <c r="D1456" s="379"/>
      <c r="E1456" s="379"/>
      <c r="F1456" s="379"/>
      <c r="G1456" s="380"/>
    </row>
    <row r="1457" spans="1:7" s="373" customFormat="1" ht="13.8" x14ac:dyDescent="0.3">
      <c r="A1457" s="378"/>
      <c r="B1457" s="378"/>
      <c r="C1457" s="379"/>
      <c r="D1457" s="379"/>
      <c r="E1457" s="379"/>
      <c r="F1457" s="379"/>
      <c r="G1457" s="380"/>
    </row>
    <row r="1458" spans="1:7" s="373" customFormat="1" ht="13.8" x14ac:dyDescent="0.3">
      <c r="A1458" s="378"/>
      <c r="B1458" s="378"/>
      <c r="C1458" s="379"/>
      <c r="D1458" s="379"/>
      <c r="E1458" s="379"/>
      <c r="F1458" s="379"/>
      <c r="G1458" s="380"/>
    </row>
    <row r="1459" spans="1:7" s="373" customFormat="1" ht="13.8" x14ac:dyDescent="0.3">
      <c r="A1459" s="378"/>
      <c r="B1459" s="378"/>
      <c r="C1459" s="379"/>
      <c r="D1459" s="379"/>
      <c r="E1459" s="379"/>
      <c r="F1459" s="379"/>
      <c r="G1459" s="380"/>
    </row>
    <row r="1460" spans="1:7" s="373" customFormat="1" ht="13.8" x14ac:dyDescent="0.3">
      <c r="A1460" s="378"/>
      <c r="B1460" s="378"/>
      <c r="C1460" s="379"/>
      <c r="D1460" s="379"/>
      <c r="E1460" s="379"/>
      <c r="F1460" s="379"/>
      <c r="G1460" s="380"/>
    </row>
    <row r="1461" spans="1:7" s="373" customFormat="1" ht="13.8" x14ac:dyDescent="0.3">
      <c r="A1461" s="378"/>
      <c r="B1461" s="378"/>
      <c r="C1461" s="379"/>
      <c r="D1461" s="379"/>
      <c r="E1461" s="379"/>
      <c r="F1461" s="379"/>
      <c r="G1461" s="380"/>
    </row>
    <row r="1462" spans="1:7" s="373" customFormat="1" ht="13.8" x14ac:dyDescent="0.3">
      <c r="A1462" s="378"/>
      <c r="B1462" s="378"/>
      <c r="C1462" s="379"/>
      <c r="D1462" s="379"/>
      <c r="E1462" s="379"/>
      <c r="F1462" s="379"/>
      <c r="G1462" s="380"/>
    </row>
    <row r="1463" spans="1:7" s="373" customFormat="1" ht="13.8" x14ac:dyDescent="0.3">
      <c r="A1463" s="378"/>
      <c r="B1463" s="378"/>
      <c r="C1463" s="379"/>
      <c r="D1463" s="379"/>
      <c r="E1463" s="379"/>
      <c r="F1463" s="379"/>
      <c r="G1463" s="380"/>
    </row>
    <row r="1464" spans="1:7" s="373" customFormat="1" ht="13.8" x14ac:dyDescent="0.3">
      <c r="A1464" s="378"/>
      <c r="B1464" s="378"/>
      <c r="C1464" s="379"/>
      <c r="D1464" s="379"/>
      <c r="E1464" s="379"/>
      <c r="F1464" s="379"/>
      <c r="G1464" s="380"/>
    </row>
    <row r="1465" spans="1:7" s="373" customFormat="1" ht="13.8" x14ac:dyDescent="0.3">
      <c r="A1465" s="378"/>
      <c r="B1465" s="378"/>
      <c r="C1465" s="379"/>
      <c r="D1465" s="379"/>
      <c r="E1465" s="379"/>
      <c r="F1465" s="379"/>
      <c r="G1465" s="380"/>
    </row>
    <row r="1466" spans="1:7" s="373" customFormat="1" ht="13.8" x14ac:dyDescent="0.3">
      <c r="A1466" s="378"/>
      <c r="B1466" s="378"/>
      <c r="C1466" s="379"/>
      <c r="D1466" s="379"/>
      <c r="E1466" s="379"/>
      <c r="F1466" s="379"/>
      <c r="G1466" s="380"/>
    </row>
    <row r="1467" spans="1:7" s="373" customFormat="1" ht="13.8" x14ac:dyDescent="0.3">
      <c r="A1467" s="378"/>
      <c r="B1467" s="378"/>
      <c r="C1467" s="379"/>
      <c r="D1467" s="379"/>
      <c r="E1467" s="379"/>
      <c r="F1467" s="379"/>
      <c r="G1467" s="380"/>
    </row>
    <row r="1468" spans="1:7" s="373" customFormat="1" ht="13.8" x14ac:dyDescent="0.3">
      <c r="A1468" s="378"/>
      <c r="B1468" s="378"/>
      <c r="C1468" s="379"/>
      <c r="D1468" s="379"/>
      <c r="E1468" s="379"/>
      <c r="F1468" s="379"/>
      <c r="G1468" s="380"/>
    </row>
    <row r="1469" spans="1:7" s="373" customFormat="1" ht="13.8" x14ac:dyDescent="0.3">
      <c r="A1469" s="378"/>
      <c r="B1469" s="378"/>
      <c r="C1469" s="379"/>
      <c r="D1469" s="379"/>
      <c r="E1469" s="379"/>
      <c r="F1469" s="379"/>
      <c r="G1469" s="380"/>
    </row>
    <row r="1470" spans="1:7" s="373" customFormat="1" ht="13.8" x14ac:dyDescent="0.3">
      <c r="A1470" s="378"/>
      <c r="B1470" s="378"/>
      <c r="C1470" s="379"/>
      <c r="D1470" s="379"/>
      <c r="E1470" s="379"/>
      <c r="F1470" s="379"/>
      <c r="G1470" s="380"/>
    </row>
    <row r="1471" spans="1:7" s="373" customFormat="1" ht="13.8" x14ac:dyDescent="0.3">
      <c r="A1471" s="378"/>
      <c r="B1471" s="378"/>
      <c r="C1471" s="379"/>
      <c r="D1471" s="379"/>
      <c r="E1471" s="379"/>
      <c r="F1471" s="379"/>
      <c r="G1471" s="380"/>
    </row>
    <row r="1472" spans="1:7" s="373" customFormat="1" ht="13.8" x14ac:dyDescent="0.3">
      <c r="A1472" s="378"/>
      <c r="B1472" s="378"/>
      <c r="C1472" s="379"/>
      <c r="D1472" s="379"/>
      <c r="E1472" s="379"/>
      <c r="F1472" s="379"/>
      <c r="G1472" s="380"/>
    </row>
    <row r="1473" spans="1:7" s="373" customFormat="1" ht="13.8" x14ac:dyDescent="0.3">
      <c r="A1473" s="378"/>
      <c r="B1473" s="378"/>
      <c r="C1473" s="379"/>
      <c r="D1473" s="379"/>
      <c r="E1473" s="379"/>
      <c r="F1473" s="379"/>
      <c r="G1473" s="380"/>
    </row>
    <row r="1474" spans="1:7" s="373" customFormat="1" ht="13.8" x14ac:dyDescent="0.3">
      <c r="A1474" s="378"/>
      <c r="B1474" s="378"/>
      <c r="C1474" s="379"/>
      <c r="D1474" s="379"/>
      <c r="E1474" s="379"/>
      <c r="F1474" s="379"/>
      <c r="G1474" s="380"/>
    </row>
    <row r="1475" spans="1:7" s="373" customFormat="1" ht="13.8" x14ac:dyDescent="0.3">
      <c r="A1475" s="378"/>
      <c r="B1475" s="378"/>
      <c r="C1475" s="379"/>
      <c r="D1475" s="379"/>
      <c r="E1475" s="379"/>
      <c r="F1475" s="379"/>
      <c r="G1475" s="380"/>
    </row>
    <row r="1476" spans="1:7" s="373" customFormat="1" ht="13.8" x14ac:dyDescent="0.3">
      <c r="A1476" s="378"/>
      <c r="B1476" s="378"/>
      <c r="C1476" s="379"/>
      <c r="D1476" s="379"/>
      <c r="E1476" s="379"/>
      <c r="F1476" s="379"/>
      <c r="G1476" s="380"/>
    </row>
    <row r="1477" spans="1:7" s="373" customFormat="1" ht="13.8" x14ac:dyDescent="0.3">
      <c r="A1477" s="378"/>
      <c r="B1477" s="378"/>
      <c r="C1477" s="379"/>
      <c r="D1477" s="379"/>
      <c r="E1477" s="379"/>
      <c r="F1477" s="379"/>
      <c r="G1477" s="380"/>
    </row>
    <row r="1478" spans="1:7" s="373" customFormat="1" ht="13.8" x14ac:dyDescent="0.3">
      <c r="A1478" s="378"/>
      <c r="B1478" s="378"/>
      <c r="C1478" s="379"/>
      <c r="D1478" s="379"/>
      <c r="E1478" s="379"/>
      <c r="F1478" s="379"/>
      <c r="G1478" s="380"/>
    </row>
    <row r="1479" spans="1:7" s="373" customFormat="1" ht="13.8" x14ac:dyDescent="0.3">
      <c r="A1479" s="378"/>
      <c r="B1479" s="378"/>
      <c r="C1479" s="379"/>
      <c r="D1479" s="379"/>
      <c r="E1479" s="379"/>
      <c r="F1479" s="379"/>
      <c r="G1479" s="380"/>
    </row>
    <row r="1480" spans="1:7" s="373" customFormat="1" ht="13.8" x14ac:dyDescent="0.3">
      <c r="A1480" s="378"/>
      <c r="B1480" s="378"/>
      <c r="C1480" s="379"/>
      <c r="D1480" s="379"/>
      <c r="E1480" s="379"/>
      <c r="F1480" s="379"/>
      <c r="G1480" s="380"/>
    </row>
    <row r="1481" spans="1:7" s="373" customFormat="1" ht="13.8" x14ac:dyDescent="0.3">
      <c r="A1481" s="378"/>
      <c r="B1481" s="378"/>
      <c r="C1481" s="379"/>
      <c r="D1481" s="379"/>
      <c r="E1481" s="379"/>
      <c r="F1481" s="379"/>
      <c r="G1481" s="380"/>
    </row>
    <row r="1482" spans="1:7" s="373" customFormat="1" ht="13.8" x14ac:dyDescent="0.3">
      <c r="A1482" s="378"/>
      <c r="B1482" s="378"/>
      <c r="C1482" s="379"/>
      <c r="D1482" s="379"/>
      <c r="E1482" s="379"/>
      <c r="F1482" s="379"/>
      <c r="G1482" s="380"/>
    </row>
    <row r="1483" spans="1:7" s="373" customFormat="1" ht="13.8" x14ac:dyDescent="0.3">
      <c r="A1483" s="378"/>
      <c r="B1483" s="378"/>
      <c r="C1483" s="379"/>
      <c r="D1483" s="379"/>
      <c r="E1483" s="379"/>
      <c r="F1483" s="379"/>
      <c r="G1483" s="380"/>
    </row>
    <row r="1484" spans="1:7" s="373" customFormat="1" ht="13.8" x14ac:dyDescent="0.3">
      <c r="A1484" s="378"/>
      <c r="B1484" s="378"/>
      <c r="C1484" s="379"/>
      <c r="D1484" s="379"/>
      <c r="E1484" s="379"/>
      <c r="F1484" s="379"/>
      <c r="G1484" s="380"/>
    </row>
    <row r="1485" spans="1:7" s="373" customFormat="1" ht="13.8" x14ac:dyDescent="0.3">
      <c r="A1485" s="378"/>
      <c r="B1485" s="378"/>
      <c r="C1485" s="379"/>
      <c r="D1485" s="379"/>
      <c r="E1485" s="379"/>
      <c r="F1485" s="379"/>
      <c r="G1485" s="380"/>
    </row>
    <row r="1486" spans="1:7" s="373" customFormat="1" ht="13.8" x14ac:dyDescent="0.3">
      <c r="A1486" s="378"/>
      <c r="B1486" s="378"/>
      <c r="C1486" s="379"/>
      <c r="D1486" s="379"/>
      <c r="E1486" s="379"/>
      <c r="F1486" s="379"/>
      <c r="G1486" s="380"/>
    </row>
    <row r="1487" spans="1:7" s="373" customFormat="1" ht="13.8" x14ac:dyDescent="0.3">
      <c r="A1487" s="378"/>
      <c r="B1487" s="378"/>
      <c r="C1487" s="379"/>
      <c r="D1487" s="379"/>
      <c r="E1487" s="379"/>
      <c r="F1487" s="379"/>
      <c r="G1487" s="380"/>
    </row>
    <row r="1488" spans="1:7" s="373" customFormat="1" ht="13.8" x14ac:dyDescent="0.3">
      <c r="A1488" s="378"/>
      <c r="B1488" s="378"/>
      <c r="C1488" s="379"/>
      <c r="D1488" s="379"/>
      <c r="E1488" s="379"/>
      <c r="F1488" s="379"/>
      <c r="G1488" s="380"/>
    </row>
    <row r="1489" spans="1:7" s="373" customFormat="1" ht="13.8" x14ac:dyDescent="0.3">
      <c r="A1489" s="378"/>
      <c r="B1489" s="378"/>
      <c r="C1489" s="379"/>
      <c r="D1489" s="379"/>
      <c r="E1489" s="379"/>
      <c r="F1489" s="379"/>
      <c r="G1489" s="380"/>
    </row>
    <row r="1490" spans="1:7" s="373" customFormat="1" ht="13.8" x14ac:dyDescent="0.3">
      <c r="A1490" s="378"/>
      <c r="B1490" s="378"/>
      <c r="C1490" s="379"/>
      <c r="D1490" s="379"/>
      <c r="E1490" s="379"/>
      <c r="F1490" s="379"/>
      <c r="G1490" s="380"/>
    </row>
    <row r="1491" spans="1:7" s="373" customFormat="1" ht="13.8" x14ac:dyDescent="0.3">
      <c r="A1491" s="378"/>
      <c r="B1491" s="378"/>
      <c r="C1491" s="379"/>
      <c r="D1491" s="379"/>
      <c r="E1491" s="379"/>
      <c r="F1491" s="379"/>
      <c r="G1491" s="380"/>
    </row>
    <row r="1492" spans="1:7" s="373" customFormat="1" ht="13.8" x14ac:dyDescent="0.3">
      <c r="A1492" s="378"/>
      <c r="B1492" s="378"/>
      <c r="C1492" s="379"/>
      <c r="D1492" s="379"/>
      <c r="E1492" s="379"/>
      <c r="F1492" s="379"/>
      <c r="G1492" s="380"/>
    </row>
    <row r="1493" spans="1:7" s="373" customFormat="1" ht="13.8" x14ac:dyDescent="0.3">
      <c r="A1493" s="378"/>
      <c r="B1493" s="378"/>
      <c r="C1493" s="379"/>
      <c r="D1493" s="379"/>
      <c r="E1493" s="379"/>
      <c r="F1493" s="379"/>
      <c r="G1493" s="380"/>
    </row>
    <row r="1494" spans="1:7" s="373" customFormat="1" ht="13.8" x14ac:dyDescent="0.3">
      <c r="A1494" s="378"/>
      <c r="B1494" s="378"/>
      <c r="C1494" s="379"/>
      <c r="D1494" s="379"/>
      <c r="E1494" s="379"/>
      <c r="F1494" s="379"/>
      <c r="G1494" s="380"/>
    </row>
    <row r="1495" spans="1:7" s="373" customFormat="1" ht="13.8" x14ac:dyDescent="0.3">
      <c r="A1495" s="378"/>
      <c r="B1495" s="378"/>
      <c r="C1495" s="379"/>
      <c r="D1495" s="379"/>
      <c r="E1495" s="379"/>
      <c r="F1495" s="379"/>
      <c r="G1495" s="380"/>
    </row>
    <row r="1496" spans="1:7" s="373" customFormat="1" ht="13.8" x14ac:dyDescent="0.3">
      <c r="A1496" s="378"/>
      <c r="B1496" s="378"/>
      <c r="C1496" s="379"/>
      <c r="D1496" s="379"/>
      <c r="E1496" s="379"/>
      <c r="F1496" s="379"/>
      <c r="G1496" s="380"/>
    </row>
    <row r="1497" spans="1:7" s="373" customFormat="1" ht="13.8" x14ac:dyDescent="0.3">
      <c r="A1497" s="378"/>
      <c r="B1497" s="378"/>
      <c r="C1497" s="379"/>
      <c r="D1497" s="379"/>
      <c r="E1497" s="379"/>
      <c r="F1497" s="379"/>
      <c r="G1497" s="380"/>
    </row>
    <row r="1498" spans="1:7" s="373" customFormat="1" ht="13.8" x14ac:dyDescent="0.3">
      <c r="A1498" s="378"/>
      <c r="B1498" s="378"/>
      <c r="C1498" s="379"/>
      <c r="D1498" s="379"/>
      <c r="E1498" s="379"/>
      <c r="F1498" s="379"/>
      <c r="G1498" s="380"/>
    </row>
    <row r="1499" spans="1:7" s="373" customFormat="1" ht="13.8" x14ac:dyDescent="0.3">
      <c r="A1499" s="378"/>
      <c r="B1499" s="378"/>
      <c r="C1499" s="379"/>
      <c r="D1499" s="379"/>
      <c r="E1499" s="379"/>
      <c r="F1499" s="379"/>
      <c r="G1499" s="380"/>
    </row>
    <row r="1500" spans="1:7" s="373" customFormat="1" ht="13.8" x14ac:dyDescent="0.3">
      <c r="A1500" s="378"/>
      <c r="B1500" s="378"/>
      <c r="C1500" s="379"/>
      <c r="D1500" s="379"/>
      <c r="E1500" s="379"/>
      <c r="F1500" s="379"/>
      <c r="G1500" s="380"/>
    </row>
    <row r="1501" spans="1:7" s="373" customFormat="1" ht="13.8" x14ac:dyDescent="0.3">
      <c r="A1501" s="378"/>
      <c r="B1501" s="378"/>
      <c r="C1501" s="379"/>
      <c r="D1501" s="379"/>
      <c r="E1501" s="379"/>
      <c r="F1501" s="379"/>
      <c r="G1501" s="380"/>
    </row>
    <row r="1502" spans="1:7" s="373" customFormat="1" ht="13.8" x14ac:dyDescent="0.3">
      <c r="A1502" s="378"/>
      <c r="B1502" s="378"/>
      <c r="C1502" s="379"/>
      <c r="D1502" s="379"/>
      <c r="E1502" s="379"/>
      <c r="F1502" s="379"/>
      <c r="G1502" s="380"/>
    </row>
    <row r="1503" spans="1:7" s="373" customFormat="1" ht="13.8" x14ac:dyDescent="0.3">
      <c r="A1503" s="378"/>
      <c r="B1503" s="378"/>
      <c r="C1503" s="379"/>
      <c r="D1503" s="379"/>
      <c r="E1503" s="379"/>
      <c r="F1503" s="379"/>
      <c r="G1503" s="380"/>
    </row>
    <row r="1504" spans="1:7" s="373" customFormat="1" ht="13.8" x14ac:dyDescent="0.3">
      <c r="A1504" s="378"/>
      <c r="B1504" s="378"/>
      <c r="C1504" s="379"/>
      <c r="D1504" s="379"/>
      <c r="E1504" s="379"/>
      <c r="F1504" s="379"/>
      <c r="G1504" s="380"/>
    </row>
    <row r="1505" spans="1:7" s="373" customFormat="1" ht="13.8" x14ac:dyDescent="0.3">
      <c r="A1505" s="378"/>
      <c r="B1505" s="378"/>
      <c r="C1505" s="379"/>
      <c r="D1505" s="379"/>
      <c r="E1505" s="379"/>
      <c r="F1505" s="379"/>
      <c r="G1505" s="380"/>
    </row>
    <row r="1506" spans="1:7" s="373" customFormat="1" ht="13.8" x14ac:dyDescent="0.3">
      <c r="A1506" s="378"/>
      <c r="B1506" s="378"/>
      <c r="C1506" s="379"/>
      <c r="D1506" s="379"/>
      <c r="E1506" s="379"/>
      <c r="F1506" s="379"/>
      <c r="G1506" s="380"/>
    </row>
    <row r="1507" spans="1:7" s="373" customFormat="1" ht="13.8" x14ac:dyDescent="0.3">
      <c r="A1507" s="378"/>
      <c r="B1507" s="378"/>
      <c r="C1507" s="379"/>
      <c r="D1507" s="379"/>
      <c r="E1507" s="379"/>
      <c r="F1507" s="379"/>
      <c r="G1507" s="380"/>
    </row>
    <row r="1508" spans="1:7" s="373" customFormat="1" ht="13.8" x14ac:dyDescent="0.3">
      <c r="A1508" s="378"/>
      <c r="B1508" s="378"/>
      <c r="C1508" s="379"/>
      <c r="D1508" s="379"/>
      <c r="E1508" s="379"/>
      <c r="F1508" s="379"/>
      <c r="G1508" s="380"/>
    </row>
    <row r="1509" spans="1:7" s="373" customFormat="1" ht="13.8" x14ac:dyDescent="0.3">
      <c r="A1509" s="378"/>
      <c r="B1509" s="378"/>
      <c r="C1509" s="379"/>
      <c r="D1509" s="379"/>
      <c r="E1509" s="379"/>
      <c r="F1509" s="379"/>
      <c r="G1509" s="380"/>
    </row>
    <row r="1510" spans="1:7" s="373" customFormat="1" ht="13.8" x14ac:dyDescent="0.3">
      <c r="A1510" s="378"/>
      <c r="B1510" s="378"/>
      <c r="C1510" s="379"/>
      <c r="D1510" s="379"/>
      <c r="E1510" s="379"/>
      <c r="F1510" s="379"/>
      <c r="G1510" s="380"/>
    </row>
    <row r="1511" spans="1:7" s="373" customFormat="1" ht="13.8" x14ac:dyDescent="0.3">
      <c r="A1511" s="378"/>
      <c r="B1511" s="378"/>
      <c r="C1511" s="379"/>
      <c r="D1511" s="379"/>
      <c r="E1511" s="379"/>
      <c r="F1511" s="379"/>
      <c r="G1511" s="380"/>
    </row>
    <row r="1512" spans="1:7" s="373" customFormat="1" ht="13.8" x14ac:dyDescent="0.3">
      <c r="A1512" s="378"/>
      <c r="B1512" s="378"/>
      <c r="C1512" s="379"/>
      <c r="D1512" s="379"/>
      <c r="E1512" s="379"/>
      <c r="F1512" s="379"/>
      <c r="G1512" s="380"/>
    </row>
    <row r="1513" spans="1:7" s="373" customFormat="1" ht="13.8" x14ac:dyDescent="0.3">
      <c r="A1513" s="378"/>
      <c r="B1513" s="378"/>
      <c r="C1513" s="379"/>
      <c r="D1513" s="379"/>
      <c r="E1513" s="379"/>
      <c r="F1513" s="379"/>
      <c r="G1513" s="380"/>
    </row>
    <row r="1514" spans="1:7" s="373" customFormat="1" ht="13.8" x14ac:dyDescent="0.3">
      <c r="A1514" s="378"/>
      <c r="B1514" s="378"/>
      <c r="C1514" s="379"/>
      <c r="D1514" s="379"/>
      <c r="E1514" s="379"/>
      <c r="F1514" s="379"/>
      <c r="G1514" s="380"/>
    </row>
    <row r="1515" spans="1:7" s="373" customFormat="1" ht="13.8" x14ac:dyDescent="0.3">
      <c r="A1515" s="378"/>
      <c r="B1515" s="378"/>
      <c r="C1515" s="379"/>
      <c r="D1515" s="379"/>
      <c r="E1515" s="379"/>
      <c r="F1515" s="379"/>
      <c r="G1515" s="380"/>
    </row>
    <row r="1516" spans="1:7" s="373" customFormat="1" ht="13.8" x14ac:dyDescent="0.3">
      <c r="A1516" s="378"/>
      <c r="B1516" s="378"/>
      <c r="C1516" s="379"/>
      <c r="D1516" s="379"/>
      <c r="E1516" s="379"/>
      <c r="F1516" s="379"/>
      <c r="G1516" s="380"/>
    </row>
    <row r="1517" spans="1:7" s="373" customFormat="1" ht="13.8" x14ac:dyDescent="0.3">
      <c r="A1517" s="378"/>
      <c r="B1517" s="378"/>
      <c r="C1517" s="379"/>
      <c r="D1517" s="379"/>
      <c r="E1517" s="379"/>
      <c r="F1517" s="379"/>
      <c r="G1517" s="380"/>
    </row>
    <row r="1518" spans="1:7" s="373" customFormat="1" ht="13.8" x14ac:dyDescent="0.3">
      <c r="A1518" s="378"/>
      <c r="B1518" s="378"/>
      <c r="C1518" s="379"/>
      <c r="D1518" s="379"/>
      <c r="E1518" s="379"/>
      <c r="F1518" s="379"/>
      <c r="G1518" s="380"/>
    </row>
    <row r="1519" spans="1:7" s="373" customFormat="1" ht="13.8" x14ac:dyDescent="0.3">
      <c r="A1519" s="378"/>
      <c r="B1519" s="378"/>
      <c r="C1519" s="379"/>
      <c r="D1519" s="379"/>
      <c r="E1519" s="379"/>
      <c r="F1519" s="379"/>
      <c r="G1519" s="380"/>
    </row>
    <row r="1520" spans="1:7" s="373" customFormat="1" ht="13.8" x14ac:dyDescent="0.3">
      <c r="A1520" s="378"/>
      <c r="B1520" s="378"/>
      <c r="C1520" s="379"/>
      <c r="D1520" s="379"/>
      <c r="E1520" s="379"/>
      <c r="F1520" s="379"/>
      <c r="G1520" s="380"/>
    </row>
    <row r="1521" spans="1:7" s="373" customFormat="1" ht="13.8" x14ac:dyDescent="0.3">
      <c r="A1521" s="378"/>
      <c r="B1521" s="378"/>
      <c r="C1521" s="379"/>
      <c r="D1521" s="379"/>
      <c r="E1521" s="379"/>
      <c r="F1521" s="379"/>
      <c r="G1521" s="380"/>
    </row>
    <row r="1522" spans="1:7" s="373" customFormat="1" ht="13.8" x14ac:dyDescent="0.3">
      <c r="A1522" s="378"/>
      <c r="B1522" s="378"/>
      <c r="C1522" s="379"/>
      <c r="D1522" s="379"/>
      <c r="E1522" s="379"/>
      <c r="F1522" s="379"/>
      <c r="G1522" s="380"/>
    </row>
    <row r="1523" spans="1:7" s="373" customFormat="1" ht="13.8" x14ac:dyDescent="0.3">
      <c r="A1523" s="378"/>
      <c r="B1523" s="378"/>
      <c r="C1523" s="379"/>
      <c r="D1523" s="379"/>
      <c r="E1523" s="379"/>
      <c r="F1523" s="379"/>
      <c r="G1523" s="380"/>
    </row>
    <row r="1524" spans="1:7" s="373" customFormat="1" ht="13.8" x14ac:dyDescent="0.3">
      <c r="A1524" s="378"/>
      <c r="B1524" s="378"/>
      <c r="C1524" s="379"/>
      <c r="D1524" s="379"/>
      <c r="E1524" s="379"/>
      <c r="F1524" s="379"/>
      <c r="G1524" s="380"/>
    </row>
    <row r="1525" spans="1:7" s="373" customFormat="1" ht="13.8" x14ac:dyDescent="0.3">
      <c r="A1525" s="378"/>
      <c r="B1525" s="378"/>
      <c r="C1525" s="379"/>
      <c r="D1525" s="379"/>
      <c r="E1525" s="379"/>
      <c r="F1525" s="379"/>
      <c r="G1525" s="380"/>
    </row>
    <row r="1526" spans="1:7" s="373" customFormat="1" ht="13.8" x14ac:dyDescent="0.3">
      <c r="A1526" s="378"/>
      <c r="B1526" s="378"/>
      <c r="C1526" s="379"/>
      <c r="D1526" s="379"/>
      <c r="E1526" s="379"/>
      <c r="F1526" s="379"/>
      <c r="G1526" s="380"/>
    </row>
    <row r="1527" spans="1:7" s="373" customFormat="1" ht="13.8" x14ac:dyDescent="0.3">
      <c r="A1527" s="378"/>
      <c r="B1527" s="378"/>
      <c r="C1527" s="379"/>
      <c r="D1527" s="379"/>
      <c r="E1527" s="379"/>
      <c r="F1527" s="379"/>
      <c r="G1527" s="380"/>
    </row>
    <row r="1528" spans="1:7" s="373" customFormat="1" ht="13.8" x14ac:dyDescent="0.3">
      <c r="A1528" s="378"/>
      <c r="B1528" s="378"/>
      <c r="C1528" s="379"/>
      <c r="D1528" s="379"/>
      <c r="E1528" s="379"/>
      <c r="F1528" s="379"/>
      <c r="G1528" s="380"/>
    </row>
    <row r="1529" spans="1:7" s="373" customFormat="1" ht="13.8" x14ac:dyDescent="0.3">
      <c r="A1529" s="378"/>
      <c r="B1529" s="378"/>
      <c r="C1529" s="379"/>
      <c r="D1529" s="379"/>
      <c r="E1529" s="379"/>
      <c r="F1529" s="379"/>
      <c r="G1529" s="380"/>
    </row>
    <row r="1530" spans="1:7" s="373" customFormat="1" ht="13.8" x14ac:dyDescent="0.3">
      <c r="A1530" s="378"/>
      <c r="B1530" s="378"/>
      <c r="C1530" s="379"/>
      <c r="D1530" s="379"/>
      <c r="E1530" s="379"/>
      <c r="F1530" s="379"/>
      <c r="G1530" s="380"/>
    </row>
    <row r="1531" spans="1:7" s="373" customFormat="1" ht="13.8" x14ac:dyDescent="0.3">
      <c r="A1531" s="378"/>
      <c r="B1531" s="378"/>
      <c r="C1531" s="379"/>
      <c r="D1531" s="379"/>
      <c r="E1531" s="379"/>
      <c r="F1531" s="379"/>
      <c r="G1531" s="380"/>
    </row>
    <row r="1532" spans="1:7" s="373" customFormat="1" ht="13.8" x14ac:dyDescent="0.3">
      <c r="A1532" s="378"/>
      <c r="B1532" s="378"/>
      <c r="C1532" s="379"/>
      <c r="D1532" s="379"/>
      <c r="E1532" s="379"/>
      <c r="F1532" s="379"/>
      <c r="G1532" s="380"/>
    </row>
    <row r="1533" spans="1:7" s="373" customFormat="1" ht="13.8" x14ac:dyDescent="0.3">
      <c r="A1533" s="378"/>
      <c r="B1533" s="378"/>
      <c r="C1533" s="379"/>
      <c r="D1533" s="379"/>
      <c r="E1533" s="379"/>
      <c r="F1533" s="379"/>
      <c r="G1533" s="380"/>
    </row>
    <row r="1534" spans="1:7" s="373" customFormat="1" ht="13.8" x14ac:dyDescent="0.3">
      <c r="A1534" s="378"/>
      <c r="B1534" s="378"/>
      <c r="C1534" s="379"/>
      <c r="D1534" s="379"/>
      <c r="E1534" s="379"/>
      <c r="F1534" s="379"/>
      <c r="G1534" s="380"/>
    </row>
    <row r="1535" spans="1:7" s="373" customFormat="1" ht="13.8" x14ac:dyDescent="0.3">
      <c r="A1535" s="378"/>
      <c r="B1535" s="378"/>
      <c r="C1535" s="379"/>
      <c r="D1535" s="379"/>
      <c r="E1535" s="379"/>
      <c r="F1535" s="379"/>
      <c r="G1535" s="380"/>
    </row>
    <row r="1536" spans="1:7" s="373" customFormat="1" ht="13.8" x14ac:dyDescent="0.3">
      <c r="A1536" s="378"/>
      <c r="B1536" s="378"/>
      <c r="C1536" s="379"/>
      <c r="D1536" s="379"/>
      <c r="E1536" s="379"/>
      <c r="F1536" s="379"/>
      <c r="G1536" s="380"/>
    </row>
    <row r="1537" spans="1:7" s="373" customFormat="1" ht="13.8" x14ac:dyDescent="0.3">
      <c r="A1537" s="378"/>
      <c r="B1537" s="378"/>
      <c r="C1537" s="379"/>
      <c r="D1537" s="379"/>
      <c r="E1537" s="379"/>
      <c r="F1537" s="379"/>
      <c r="G1537" s="380"/>
    </row>
    <row r="1538" spans="1:7" s="373" customFormat="1" ht="13.8" x14ac:dyDescent="0.3">
      <c r="A1538" s="378"/>
      <c r="B1538" s="378"/>
      <c r="C1538" s="379"/>
      <c r="D1538" s="379"/>
      <c r="E1538" s="379"/>
      <c r="F1538" s="379"/>
      <c r="G1538" s="380"/>
    </row>
    <row r="1539" spans="1:7" s="373" customFormat="1" ht="13.8" x14ac:dyDescent="0.3">
      <c r="A1539" s="378"/>
      <c r="B1539" s="378"/>
      <c r="C1539" s="379"/>
      <c r="D1539" s="379"/>
      <c r="E1539" s="379"/>
      <c r="F1539" s="379"/>
      <c r="G1539" s="380"/>
    </row>
    <row r="1540" spans="1:7" s="373" customFormat="1" ht="13.8" x14ac:dyDescent="0.3">
      <c r="A1540" s="378"/>
      <c r="B1540" s="378"/>
      <c r="C1540" s="379"/>
      <c r="D1540" s="379"/>
      <c r="E1540" s="379"/>
      <c r="F1540" s="379"/>
      <c r="G1540" s="380"/>
    </row>
    <row r="1541" spans="1:7" s="373" customFormat="1" ht="13.8" x14ac:dyDescent="0.3">
      <c r="A1541" s="378"/>
      <c r="B1541" s="378"/>
      <c r="C1541" s="379"/>
      <c r="D1541" s="379"/>
      <c r="E1541" s="379"/>
      <c r="F1541" s="379"/>
      <c r="G1541" s="380"/>
    </row>
    <row r="1542" spans="1:7" s="373" customFormat="1" ht="13.8" x14ac:dyDescent="0.3">
      <c r="A1542" s="378"/>
      <c r="B1542" s="378"/>
      <c r="C1542" s="379"/>
      <c r="D1542" s="379"/>
      <c r="E1542" s="379"/>
      <c r="F1542" s="379"/>
      <c r="G1542" s="380"/>
    </row>
    <row r="1543" spans="1:7" s="373" customFormat="1" ht="13.8" x14ac:dyDescent="0.3">
      <c r="A1543" s="378"/>
      <c r="B1543" s="378"/>
      <c r="C1543" s="379"/>
      <c r="D1543" s="379"/>
      <c r="E1543" s="379"/>
      <c r="F1543" s="379"/>
      <c r="G1543" s="380"/>
    </row>
    <row r="1544" spans="1:7" s="373" customFormat="1" ht="13.8" x14ac:dyDescent="0.3">
      <c r="A1544" s="378"/>
      <c r="B1544" s="378"/>
      <c r="C1544" s="379"/>
      <c r="D1544" s="379"/>
      <c r="E1544" s="379"/>
      <c r="F1544" s="379"/>
      <c r="G1544" s="380"/>
    </row>
    <row r="1545" spans="1:7" s="373" customFormat="1" ht="13.8" x14ac:dyDescent="0.3">
      <c r="A1545" s="378"/>
      <c r="B1545" s="378"/>
      <c r="C1545" s="379"/>
      <c r="D1545" s="379"/>
      <c r="E1545" s="379"/>
      <c r="F1545" s="379"/>
      <c r="G1545" s="380"/>
    </row>
    <row r="1546" spans="1:7" s="373" customFormat="1" ht="13.8" x14ac:dyDescent="0.3">
      <c r="A1546" s="378"/>
      <c r="B1546" s="378"/>
      <c r="C1546" s="379"/>
      <c r="D1546" s="379"/>
      <c r="E1546" s="379"/>
      <c r="F1546" s="379"/>
      <c r="G1546" s="380"/>
    </row>
    <row r="1547" spans="1:7" s="373" customFormat="1" ht="13.8" x14ac:dyDescent="0.3">
      <c r="A1547" s="378"/>
      <c r="B1547" s="378"/>
      <c r="C1547" s="379"/>
      <c r="D1547" s="379"/>
      <c r="E1547" s="379"/>
      <c r="F1547" s="379"/>
      <c r="G1547" s="380"/>
    </row>
    <row r="1548" spans="1:7" s="373" customFormat="1" ht="13.8" x14ac:dyDescent="0.3">
      <c r="A1548" s="378"/>
      <c r="B1548" s="378"/>
      <c r="C1548" s="379"/>
      <c r="D1548" s="379"/>
      <c r="E1548" s="379"/>
      <c r="F1548" s="379"/>
      <c r="G1548" s="380"/>
    </row>
    <row r="1549" spans="1:7" s="373" customFormat="1" ht="13.8" x14ac:dyDescent="0.3">
      <c r="A1549" s="378"/>
      <c r="B1549" s="378"/>
      <c r="C1549" s="379"/>
      <c r="D1549" s="379"/>
      <c r="E1549" s="379"/>
      <c r="F1549" s="379"/>
      <c r="G1549" s="380"/>
    </row>
    <row r="1550" spans="1:7" s="373" customFormat="1" ht="13.8" x14ac:dyDescent="0.3">
      <c r="A1550" s="378"/>
      <c r="B1550" s="378"/>
      <c r="C1550" s="379"/>
      <c r="D1550" s="379"/>
      <c r="E1550" s="379"/>
      <c r="F1550" s="379"/>
      <c r="G1550" s="380"/>
    </row>
    <row r="1551" spans="1:7" s="373" customFormat="1" ht="13.8" x14ac:dyDescent="0.3">
      <c r="A1551" s="378"/>
      <c r="B1551" s="378"/>
      <c r="C1551" s="379"/>
      <c r="D1551" s="379"/>
      <c r="E1551" s="379"/>
      <c r="F1551" s="379"/>
      <c r="G1551" s="380"/>
    </row>
    <row r="1552" spans="1:7" s="373" customFormat="1" ht="13.8" x14ac:dyDescent="0.3">
      <c r="A1552" s="378"/>
      <c r="B1552" s="378"/>
      <c r="C1552" s="379"/>
      <c r="D1552" s="379"/>
      <c r="E1552" s="379"/>
      <c r="F1552" s="379"/>
      <c r="G1552" s="380"/>
    </row>
    <row r="1553" spans="1:7" s="373" customFormat="1" ht="13.8" x14ac:dyDescent="0.3">
      <c r="A1553" s="378"/>
      <c r="B1553" s="378"/>
      <c r="C1553" s="379"/>
      <c r="D1553" s="379"/>
      <c r="E1553" s="379"/>
      <c r="F1553" s="379"/>
      <c r="G1553" s="380"/>
    </row>
    <row r="1554" spans="1:7" s="373" customFormat="1" ht="13.8" x14ac:dyDescent="0.3">
      <c r="A1554" s="378"/>
      <c r="B1554" s="378"/>
      <c r="C1554" s="379"/>
      <c r="D1554" s="379"/>
      <c r="E1554" s="379"/>
      <c r="F1554" s="379"/>
      <c r="G1554" s="380"/>
    </row>
    <row r="1555" spans="1:7" s="373" customFormat="1" ht="13.8" x14ac:dyDescent="0.3">
      <c r="A1555" s="378"/>
      <c r="B1555" s="378"/>
      <c r="C1555" s="379"/>
      <c r="D1555" s="379"/>
      <c r="E1555" s="379"/>
      <c r="F1555" s="379"/>
      <c r="G1555" s="380"/>
    </row>
    <row r="1556" spans="1:7" s="373" customFormat="1" ht="13.8" x14ac:dyDescent="0.3">
      <c r="A1556" s="378"/>
      <c r="B1556" s="378"/>
      <c r="C1556" s="379"/>
      <c r="D1556" s="379"/>
      <c r="E1556" s="379"/>
      <c r="F1556" s="379"/>
      <c r="G1556" s="380"/>
    </row>
    <row r="1557" spans="1:7" s="373" customFormat="1" ht="13.8" x14ac:dyDescent="0.3">
      <c r="A1557" s="378"/>
      <c r="B1557" s="378"/>
      <c r="C1557" s="379"/>
      <c r="D1557" s="379"/>
      <c r="E1557" s="379"/>
      <c r="F1557" s="379"/>
      <c r="G1557" s="380"/>
    </row>
    <row r="1558" spans="1:7" s="373" customFormat="1" ht="13.8" x14ac:dyDescent="0.3">
      <c r="A1558" s="378"/>
      <c r="B1558" s="378"/>
      <c r="C1558" s="379"/>
      <c r="D1558" s="379"/>
      <c r="E1558" s="379"/>
      <c r="F1558" s="379"/>
      <c r="G1558" s="380"/>
    </row>
    <row r="1559" spans="1:7" s="373" customFormat="1" ht="13.8" x14ac:dyDescent="0.3">
      <c r="A1559" s="378"/>
      <c r="B1559" s="378"/>
      <c r="C1559" s="379"/>
      <c r="D1559" s="379"/>
      <c r="E1559" s="379"/>
      <c r="F1559" s="379"/>
      <c r="G1559" s="380"/>
    </row>
    <row r="1560" spans="1:7" s="373" customFormat="1" ht="13.8" x14ac:dyDescent="0.3">
      <c r="A1560" s="378"/>
      <c r="B1560" s="378"/>
      <c r="C1560" s="379"/>
      <c r="D1560" s="379"/>
      <c r="E1560" s="379"/>
      <c r="F1560" s="379"/>
      <c r="G1560" s="380"/>
    </row>
    <row r="1561" spans="1:7" s="373" customFormat="1" ht="13.8" x14ac:dyDescent="0.3">
      <c r="A1561" s="378"/>
      <c r="B1561" s="378"/>
      <c r="C1561" s="379"/>
      <c r="D1561" s="379"/>
      <c r="E1561" s="379"/>
      <c r="F1561" s="379"/>
      <c r="G1561" s="380"/>
    </row>
    <row r="1562" spans="1:7" s="373" customFormat="1" ht="13.8" x14ac:dyDescent="0.3">
      <c r="A1562" s="378"/>
      <c r="B1562" s="378"/>
      <c r="C1562" s="379"/>
      <c r="D1562" s="379"/>
      <c r="E1562" s="379"/>
      <c r="F1562" s="379"/>
      <c r="G1562" s="380"/>
    </row>
    <row r="1563" spans="1:7" s="373" customFormat="1" ht="13.8" x14ac:dyDescent="0.3">
      <c r="A1563" s="378"/>
      <c r="B1563" s="378"/>
      <c r="C1563" s="379"/>
      <c r="D1563" s="379"/>
      <c r="E1563" s="379"/>
      <c r="F1563" s="379"/>
      <c r="G1563" s="380"/>
    </row>
    <row r="1564" spans="1:7" s="373" customFormat="1" ht="13.8" x14ac:dyDescent="0.3">
      <c r="A1564" s="378"/>
      <c r="B1564" s="378"/>
      <c r="C1564" s="379"/>
      <c r="D1564" s="379"/>
      <c r="E1564" s="379"/>
      <c r="F1564" s="379"/>
      <c r="G1564" s="380"/>
    </row>
    <row r="1565" spans="1:7" s="373" customFormat="1" ht="13.8" x14ac:dyDescent="0.3">
      <c r="A1565" s="378"/>
      <c r="B1565" s="378"/>
      <c r="C1565" s="379"/>
      <c r="D1565" s="379"/>
      <c r="E1565" s="379"/>
      <c r="F1565" s="379"/>
      <c r="G1565" s="380"/>
    </row>
    <row r="1566" spans="1:7" s="373" customFormat="1" ht="13.8" x14ac:dyDescent="0.3">
      <c r="A1566" s="378"/>
      <c r="B1566" s="378"/>
      <c r="C1566" s="379"/>
      <c r="D1566" s="379"/>
      <c r="E1566" s="379"/>
      <c r="F1566" s="379"/>
      <c r="G1566" s="380"/>
    </row>
    <row r="1567" spans="1:7" s="373" customFormat="1" ht="13.8" x14ac:dyDescent="0.3">
      <c r="A1567" s="378"/>
      <c r="B1567" s="378"/>
      <c r="C1567" s="379"/>
      <c r="D1567" s="379"/>
      <c r="E1567" s="379"/>
      <c r="F1567" s="379"/>
      <c r="G1567" s="380"/>
    </row>
    <row r="1568" spans="1:7" s="373" customFormat="1" ht="13.8" x14ac:dyDescent="0.3">
      <c r="A1568" s="378"/>
      <c r="B1568" s="378"/>
      <c r="C1568" s="379"/>
      <c r="D1568" s="379"/>
      <c r="E1568" s="379"/>
      <c r="F1568" s="379"/>
      <c r="G1568" s="380"/>
    </row>
    <row r="1569" spans="1:7" s="373" customFormat="1" ht="13.8" x14ac:dyDescent="0.3">
      <c r="A1569" s="378"/>
      <c r="B1569" s="378"/>
      <c r="C1569" s="379"/>
      <c r="D1569" s="379"/>
      <c r="E1569" s="379"/>
      <c r="F1569" s="379"/>
      <c r="G1569" s="380"/>
    </row>
    <row r="1570" spans="1:7" s="373" customFormat="1" ht="13.8" x14ac:dyDescent="0.3">
      <c r="A1570" s="378"/>
      <c r="B1570" s="378"/>
      <c r="C1570" s="379"/>
      <c r="D1570" s="379"/>
      <c r="E1570" s="379"/>
      <c r="F1570" s="379"/>
      <c r="G1570" s="380"/>
    </row>
    <row r="1571" spans="1:7" s="373" customFormat="1" ht="13.8" x14ac:dyDescent="0.3">
      <c r="A1571" s="378"/>
      <c r="B1571" s="378"/>
      <c r="C1571" s="379"/>
      <c r="D1571" s="379"/>
      <c r="E1571" s="379"/>
      <c r="F1571" s="379"/>
      <c r="G1571" s="380"/>
    </row>
    <row r="1572" spans="1:7" s="373" customFormat="1" ht="13.8" x14ac:dyDescent="0.3">
      <c r="A1572" s="378"/>
      <c r="B1572" s="378"/>
      <c r="C1572" s="379"/>
      <c r="D1572" s="379"/>
      <c r="E1572" s="379"/>
      <c r="F1572" s="379"/>
      <c r="G1572" s="380"/>
    </row>
    <row r="1573" spans="1:7" s="373" customFormat="1" ht="13.8" x14ac:dyDescent="0.3">
      <c r="A1573" s="378"/>
      <c r="B1573" s="378"/>
      <c r="C1573" s="379"/>
      <c r="D1573" s="379"/>
      <c r="E1573" s="379"/>
      <c r="F1573" s="379"/>
      <c r="G1573" s="380"/>
    </row>
    <row r="1574" spans="1:7" s="373" customFormat="1" ht="13.8" x14ac:dyDescent="0.3">
      <c r="A1574" s="378"/>
      <c r="B1574" s="378"/>
      <c r="C1574" s="379"/>
      <c r="D1574" s="379"/>
      <c r="E1574" s="379"/>
      <c r="F1574" s="379"/>
      <c r="G1574" s="380"/>
    </row>
    <row r="1575" spans="1:7" s="373" customFormat="1" ht="13.8" x14ac:dyDescent="0.3">
      <c r="A1575" s="378"/>
      <c r="B1575" s="378"/>
      <c r="C1575" s="379"/>
      <c r="D1575" s="379"/>
      <c r="E1575" s="379"/>
      <c r="F1575" s="379"/>
      <c r="G1575" s="380"/>
    </row>
    <row r="1576" spans="1:7" s="373" customFormat="1" ht="13.8" x14ac:dyDescent="0.3">
      <c r="A1576" s="378"/>
      <c r="B1576" s="378"/>
      <c r="C1576" s="379"/>
      <c r="D1576" s="379"/>
      <c r="E1576" s="379"/>
      <c r="F1576" s="379"/>
      <c r="G1576" s="380"/>
    </row>
    <row r="1577" spans="1:7" s="373" customFormat="1" ht="13.8" x14ac:dyDescent="0.3">
      <c r="A1577" s="378"/>
      <c r="B1577" s="378"/>
      <c r="C1577" s="379"/>
      <c r="D1577" s="379"/>
      <c r="E1577" s="379"/>
      <c r="F1577" s="379"/>
      <c r="G1577" s="380"/>
    </row>
    <row r="1578" spans="1:7" s="373" customFormat="1" ht="13.8" x14ac:dyDescent="0.3">
      <c r="A1578" s="378"/>
      <c r="B1578" s="378"/>
      <c r="C1578" s="379"/>
      <c r="D1578" s="379"/>
      <c r="E1578" s="379"/>
      <c r="F1578" s="379"/>
      <c r="G1578" s="380"/>
    </row>
    <row r="1579" spans="1:7" s="373" customFormat="1" ht="13.8" x14ac:dyDescent="0.3">
      <c r="A1579" s="378"/>
      <c r="B1579" s="378"/>
      <c r="C1579" s="379"/>
      <c r="D1579" s="379"/>
      <c r="E1579" s="379"/>
      <c r="F1579" s="379"/>
      <c r="G1579" s="380"/>
    </row>
    <row r="1580" spans="1:7" s="373" customFormat="1" ht="13.8" x14ac:dyDescent="0.3">
      <c r="A1580" s="378"/>
      <c r="B1580" s="378"/>
      <c r="C1580" s="379"/>
      <c r="D1580" s="379"/>
      <c r="E1580" s="379"/>
      <c r="F1580" s="379"/>
      <c r="G1580" s="380"/>
    </row>
    <row r="1581" spans="1:7" s="373" customFormat="1" ht="13.8" x14ac:dyDescent="0.3">
      <c r="A1581" s="378"/>
      <c r="B1581" s="378"/>
      <c r="C1581" s="379"/>
      <c r="D1581" s="379"/>
      <c r="E1581" s="379"/>
      <c r="F1581" s="379"/>
      <c r="G1581" s="380"/>
    </row>
    <row r="1582" spans="1:7" s="373" customFormat="1" ht="13.8" x14ac:dyDescent="0.3">
      <c r="A1582" s="378"/>
      <c r="B1582" s="378"/>
      <c r="C1582" s="379"/>
      <c r="D1582" s="379"/>
      <c r="E1582" s="379"/>
      <c r="F1582" s="379"/>
      <c r="G1582" s="380"/>
    </row>
    <row r="1583" spans="1:7" s="373" customFormat="1" ht="13.8" x14ac:dyDescent="0.3">
      <c r="A1583" s="378"/>
      <c r="B1583" s="378"/>
      <c r="C1583" s="379"/>
      <c r="D1583" s="379"/>
      <c r="E1583" s="379"/>
      <c r="F1583" s="379"/>
      <c r="G1583" s="380"/>
    </row>
    <row r="1584" spans="1:7" s="373" customFormat="1" ht="13.8" x14ac:dyDescent="0.3">
      <c r="A1584" s="378"/>
      <c r="B1584" s="378"/>
      <c r="C1584" s="379"/>
      <c r="D1584" s="379"/>
      <c r="E1584" s="379"/>
      <c r="F1584" s="379"/>
      <c r="G1584" s="380"/>
    </row>
    <row r="1585" spans="1:7" s="373" customFormat="1" ht="13.8" x14ac:dyDescent="0.3">
      <c r="A1585" s="378"/>
      <c r="B1585" s="378"/>
      <c r="C1585" s="379"/>
      <c r="D1585" s="379"/>
      <c r="E1585" s="379"/>
      <c r="F1585" s="379"/>
      <c r="G1585" s="380"/>
    </row>
    <row r="1586" spans="1:7" s="373" customFormat="1" ht="13.8" x14ac:dyDescent="0.3">
      <c r="A1586" s="378"/>
      <c r="B1586" s="378"/>
      <c r="C1586" s="379"/>
      <c r="D1586" s="379"/>
      <c r="E1586" s="379"/>
      <c r="F1586" s="379"/>
      <c r="G1586" s="380"/>
    </row>
    <row r="1587" spans="1:7" s="373" customFormat="1" ht="13.8" x14ac:dyDescent="0.3">
      <c r="A1587" s="378"/>
      <c r="B1587" s="378"/>
      <c r="C1587" s="379"/>
      <c r="D1587" s="379"/>
      <c r="E1587" s="379"/>
      <c r="F1587" s="379"/>
      <c r="G1587" s="380"/>
    </row>
    <row r="1588" spans="1:7" s="373" customFormat="1" ht="13.8" x14ac:dyDescent="0.3">
      <c r="A1588" s="378"/>
      <c r="B1588" s="378"/>
      <c r="C1588" s="379"/>
      <c r="D1588" s="379"/>
      <c r="E1588" s="379"/>
      <c r="F1588" s="379"/>
      <c r="G1588" s="380"/>
    </row>
    <row r="1589" spans="1:7" s="373" customFormat="1" ht="13.8" x14ac:dyDescent="0.3">
      <c r="A1589" s="378"/>
      <c r="B1589" s="378"/>
      <c r="C1589" s="379"/>
      <c r="D1589" s="379"/>
      <c r="E1589" s="379"/>
      <c r="F1589" s="379"/>
      <c r="G1589" s="380"/>
    </row>
    <row r="1590" spans="1:7" s="373" customFormat="1" ht="13.8" x14ac:dyDescent="0.3">
      <c r="A1590" s="378"/>
      <c r="B1590" s="378"/>
      <c r="C1590" s="379"/>
      <c r="D1590" s="379"/>
      <c r="E1590" s="379"/>
      <c r="F1590" s="379"/>
      <c r="G1590" s="380"/>
    </row>
    <row r="1591" spans="1:7" s="373" customFormat="1" ht="13.8" x14ac:dyDescent="0.3">
      <c r="A1591" s="378"/>
      <c r="B1591" s="378"/>
      <c r="C1591" s="379"/>
      <c r="D1591" s="379"/>
      <c r="E1591" s="379"/>
      <c r="F1591" s="379"/>
      <c r="G1591" s="380"/>
    </row>
    <row r="1592" spans="1:7" s="373" customFormat="1" ht="13.8" x14ac:dyDescent="0.3">
      <c r="A1592" s="378"/>
      <c r="B1592" s="378"/>
      <c r="C1592" s="379"/>
      <c r="D1592" s="379"/>
      <c r="E1592" s="379"/>
      <c r="F1592" s="379"/>
      <c r="G1592" s="380"/>
    </row>
    <row r="1593" spans="1:7" s="373" customFormat="1" ht="13.8" x14ac:dyDescent="0.3">
      <c r="A1593" s="378"/>
      <c r="B1593" s="378"/>
      <c r="C1593" s="379"/>
      <c r="D1593" s="379"/>
      <c r="E1593" s="379"/>
      <c r="F1593" s="379"/>
      <c r="G1593" s="380"/>
    </row>
    <row r="1594" spans="1:7" s="373" customFormat="1" ht="13.8" x14ac:dyDescent="0.3">
      <c r="A1594" s="378"/>
      <c r="B1594" s="378"/>
      <c r="C1594" s="379"/>
      <c r="D1594" s="379"/>
      <c r="E1594" s="379"/>
      <c r="F1594" s="379"/>
      <c r="G1594" s="380"/>
    </row>
    <row r="1595" spans="1:7" s="373" customFormat="1" ht="13.8" x14ac:dyDescent="0.3">
      <c r="A1595" s="378"/>
      <c r="B1595" s="378"/>
      <c r="C1595" s="379"/>
      <c r="D1595" s="379"/>
      <c r="E1595" s="379"/>
      <c r="F1595" s="379"/>
      <c r="G1595" s="380"/>
    </row>
    <row r="1596" spans="1:7" s="373" customFormat="1" ht="13.8" x14ac:dyDescent="0.3">
      <c r="A1596" s="378"/>
      <c r="B1596" s="378"/>
      <c r="C1596" s="379"/>
      <c r="D1596" s="379"/>
      <c r="E1596" s="379"/>
      <c r="F1596" s="379"/>
      <c r="G1596" s="380"/>
    </row>
    <row r="1597" spans="1:7" s="373" customFormat="1" ht="13.8" x14ac:dyDescent="0.3">
      <c r="A1597" s="378"/>
      <c r="B1597" s="378"/>
      <c r="C1597" s="379"/>
      <c r="D1597" s="379"/>
      <c r="E1597" s="379"/>
      <c r="F1597" s="379"/>
      <c r="G1597" s="380"/>
    </row>
    <row r="1598" spans="1:7" s="373" customFormat="1" ht="13.8" x14ac:dyDescent="0.3">
      <c r="A1598" s="378"/>
      <c r="B1598" s="378"/>
      <c r="C1598" s="379"/>
      <c r="D1598" s="379"/>
      <c r="E1598" s="379"/>
      <c r="F1598" s="379"/>
      <c r="G1598" s="380"/>
    </row>
    <row r="1599" spans="1:7" s="373" customFormat="1" ht="13.8" x14ac:dyDescent="0.3">
      <c r="A1599" s="378"/>
      <c r="B1599" s="378"/>
      <c r="C1599" s="379"/>
      <c r="D1599" s="379"/>
      <c r="E1599" s="379"/>
      <c r="F1599" s="379"/>
      <c r="G1599" s="380"/>
    </row>
    <row r="1600" spans="1:7" s="373" customFormat="1" ht="13.8" x14ac:dyDescent="0.3">
      <c r="A1600" s="378"/>
      <c r="B1600" s="378"/>
      <c r="C1600" s="379"/>
      <c r="D1600" s="379"/>
      <c r="E1600" s="379"/>
      <c r="F1600" s="379"/>
      <c r="G1600" s="380"/>
    </row>
    <row r="1601" spans="1:7" s="373" customFormat="1" ht="13.8" x14ac:dyDescent="0.3">
      <c r="A1601" s="378"/>
      <c r="B1601" s="378"/>
      <c r="C1601" s="379"/>
      <c r="D1601" s="379"/>
      <c r="E1601" s="379"/>
      <c r="F1601" s="379"/>
      <c r="G1601" s="380"/>
    </row>
    <row r="1602" spans="1:7" s="373" customFormat="1" ht="13.8" x14ac:dyDescent="0.3">
      <c r="A1602" s="378"/>
      <c r="B1602" s="378"/>
      <c r="C1602" s="379"/>
      <c r="D1602" s="379"/>
      <c r="E1602" s="379"/>
      <c r="F1602" s="379"/>
      <c r="G1602" s="380"/>
    </row>
    <row r="1603" spans="1:7" s="373" customFormat="1" ht="13.8" x14ac:dyDescent="0.3">
      <c r="A1603" s="378"/>
      <c r="B1603" s="378"/>
      <c r="C1603" s="379"/>
      <c r="D1603" s="379"/>
      <c r="E1603" s="379"/>
      <c r="F1603" s="379"/>
      <c r="G1603" s="380"/>
    </row>
    <row r="1604" spans="1:7" s="373" customFormat="1" ht="13.8" x14ac:dyDescent="0.3">
      <c r="A1604" s="378"/>
      <c r="B1604" s="378"/>
      <c r="C1604" s="379"/>
      <c r="D1604" s="379"/>
      <c r="E1604" s="379"/>
      <c r="F1604" s="379"/>
      <c r="G1604" s="380"/>
    </row>
    <row r="1605" spans="1:7" s="373" customFormat="1" ht="13.8" x14ac:dyDescent="0.3">
      <c r="A1605" s="378"/>
      <c r="B1605" s="378"/>
      <c r="C1605" s="379"/>
      <c r="D1605" s="379"/>
      <c r="E1605" s="379"/>
      <c r="F1605" s="379"/>
      <c r="G1605" s="380"/>
    </row>
    <row r="1606" spans="1:7" s="373" customFormat="1" ht="13.8" x14ac:dyDescent="0.3">
      <c r="A1606" s="378"/>
      <c r="B1606" s="378"/>
      <c r="C1606" s="379"/>
      <c r="D1606" s="379"/>
      <c r="E1606" s="379"/>
      <c r="F1606" s="379"/>
      <c r="G1606" s="380"/>
    </row>
    <row r="1607" spans="1:7" s="373" customFormat="1" ht="13.8" x14ac:dyDescent="0.3">
      <c r="A1607" s="378"/>
      <c r="B1607" s="378"/>
      <c r="C1607" s="379"/>
      <c r="D1607" s="379"/>
      <c r="E1607" s="379"/>
      <c r="F1607" s="379"/>
      <c r="G1607" s="380"/>
    </row>
    <row r="1608" spans="1:7" s="373" customFormat="1" ht="13.8" x14ac:dyDescent="0.3">
      <c r="A1608" s="378"/>
      <c r="B1608" s="378"/>
      <c r="C1608" s="379"/>
      <c r="D1608" s="379"/>
      <c r="E1608" s="379"/>
      <c r="F1608" s="379"/>
      <c r="G1608" s="380"/>
    </row>
    <row r="1609" spans="1:7" s="373" customFormat="1" ht="13.8" x14ac:dyDescent="0.3">
      <c r="A1609" s="378"/>
      <c r="B1609" s="378"/>
      <c r="C1609" s="379"/>
      <c r="D1609" s="379"/>
      <c r="E1609" s="379"/>
      <c r="F1609" s="379"/>
      <c r="G1609" s="380"/>
    </row>
    <row r="1610" spans="1:7" s="373" customFormat="1" ht="13.8" x14ac:dyDescent="0.3">
      <c r="A1610" s="378"/>
      <c r="B1610" s="378"/>
      <c r="C1610" s="379"/>
      <c r="D1610" s="379"/>
      <c r="E1610" s="379"/>
      <c r="F1610" s="379"/>
      <c r="G1610" s="380"/>
    </row>
    <row r="1611" spans="1:7" s="373" customFormat="1" ht="13.8" x14ac:dyDescent="0.3">
      <c r="A1611" s="378"/>
      <c r="B1611" s="378"/>
      <c r="C1611" s="379"/>
      <c r="D1611" s="379"/>
      <c r="E1611" s="379"/>
      <c r="F1611" s="379"/>
      <c r="G1611" s="380"/>
    </row>
    <row r="1612" spans="1:7" s="373" customFormat="1" ht="13.8" x14ac:dyDescent="0.3">
      <c r="A1612" s="378"/>
      <c r="B1612" s="378"/>
      <c r="C1612" s="379"/>
      <c r="D1612" s="379"/>
      <c r="E1612" s="379"/>
      <c r="F1612" s="379"/>
      <c r="G1612" s="380"/>
    </row>
    <row r="1613" spans="1:7" s="373" customFormat="1" ht="13.8" x14ac:dyDescent="0.3">
      <c r="A1613" s="378"/>
      <c r="B1613" s="378"/>
      <c r="C1613" s="379"/>
      <c r="D1613" s="379"/>
      <c r="E1613" s="379"/>
      <c r="F1613" s="379"/>
      <c r="G1613" s="380"/>
    </row>
    <row r="1614" spans="1:7" s="373" customFormat="1" ht="13.8" x14ac:dyDescent="0.3">
      <c r="A1614" s="378"/>
      <c r="B1614" s="378"/>
      <c r="C1614" s="379"/>
      <c r="D1614" s="379"/>
      <c r="E1614" s="379"/>
      <c r="F1614" s="379"/>
      <c r="G1614" s="380"/>
    </row>
    <row r="1615" spans="1:7" s="373" customFormat="1" ht="13.8" x14ac:dyDescent="0.3">
      <c r="A1615" s="378"/>
      <c r="B1615" s="378"/>
      <c r="C1615" s="379"/>
      <c r="D1615" s="379"/>
      <c r="E1615" s="379"/>
      <c r="F1615" s="379"/>
      <c r="G1615" s="380"/>
    </row>
    <row r="1616" spans="1:7" s="373" customFormat="1" ht="13.8" x14ac:dyDescent="0.3">
      <c r="A1616" s="378"/>
      <c r="B1616" s="378"/>
      <c r="C1616" s="379"/>
      <c r="D1616" s="379"/>
      <c r="E1616" s="379"/>
      <c r="F1616" s="379"/>
      <c r="G1616" s="380"/>
    </row>
    <row r="1617" spans="1:7" s="373" customFormat="1" ht="13.8" x14ac:dyDescent="0.3">
      <c r="A1617" s="378"/>
      <c r="B1617" s="378"/>
      <c r="C1617" s="379"/>
      <c r="D1617" s="379"/>
      <c r="E1617" s="379"/>
      <c r="F1617" s="379"/>
      <c r="G1617" s="380"/>
    </row>
    <row r="1618" spans="1:7" s="373" customFormat="1" ht="13.8" x14ac:dyDescent="0.3">
      <c r="A1618" s="378"/>
      <c r="B1618" s="378"/>
      <c r="C1618" s="379"/>
      <c r="D1618" s="379"/>
      <c r="E1618" s="379"/>
      <c r="F1618" s="379"/>
      <c r="G1618" s="380"/>
    </row>
    <row r="1619" spans="1:7" s="373" customFormat="1" ht="13.8" x14ac:dyDescent="0.3">
      <c r="A1619" s="378"/>
      <c r="B1619" s="378"/>
      <c r="C1619" s="379"/>
      <c r="D1619" s="379"/>
      <c r="E1619" s="379"/>
      <c r="F1619" s="379"/>
      <c r="G1619" s="380"/>
    </row>
    <row r="1620" spans="1:7" s="373" customFormat="1" ht="13.8" x14ac:dyDescent="0.3">
      <c r="A1620" s="378"/>
      <c r="B1620" s="378"/>
      <c r="C1620" s="379"/>
      <c r="D1620" s="379"/>
      <c r="E1620" s="379"/>
      <c r="F1620" s="379"/>
      <c r="G1620" s="380"/>
    </row>
    <row r="1621" spans="1:7" s="373" customFormat="1" ht="13.8" x14ac:dyDescent="0.3">
      <c r="A1621" s="378"/>
      <c r="B1621" s="378"/>
      <c r="C1621" s="379"/>
      <c r="D1621" s="379"/>
      <c r="E1621" s="379"/>
      <c r="F1621" s="379"/>
      <c r="G1621" s="380"/>
    </row>
    <row r="1622" spans="1:7" s="373" customFormat="1" ht="13.8" x14ac:dyDescent="0.3">
      <c r="A1622" s="378"/>
      <c r="B1622" s="378"/>
      <c r="C1622" s="379"/>
      <c r="D1622" s="379"/>
      <c r="E1622" s="379"/>
      <c r="F1622" s="379"/>
      <c r="G1622" s="380"/>
    </row>
    <row r="1623" spans="1:7" s="373" customFormat="1" ht="13.8" x14ac:dyDescent="0.3">
      <c r="A1623" s="378"/>
      <c r="B1623" s="378"/>
      <c r="C1623" s="379"/>
      <c r="D1623" s="379"/>
      <c r="E1623" s="379"/>
      <c r="F1623" s="379"/>
      <c r="G1623" s="380"/>
    </row>
    <row r="1624" spans="1:7" s="373" customFormat="1" ht="13.8" x14ac:dyDescent="0.3">
      <c r="A1624" s="378"/>
      <c r="B1624" s="378"/>
      <c r="C1624" s="379"/>
      <c r="D1624" s="379"/>
      <c r="E1624" s="379"/>
      <c r="F1624" s="379"/>
      <c r="G1624" s="380"/>
    </row>
    <row r="1625" spans="1:7" s="373" customFormat="1" ht="13.8" x14ac:dyDescent="0.3">
      <c r="A1625" s="378"/>
      <c r="B1625" s="378"/>
      <c r="C1625" s="379"/>
      <c r="D1625" s="379"/>
      <c r="E1625" s="379"/>
      <c r="F1625" s="379"/>
      <c r="G1625" s="380"/>
    </row>
    <row r="1626" spans="1:7" s="373" customFormat="1" ht="13.8" x14ac:dyDescent="0.3">
      <c r="A1626" s="378"/>
      <c r="B1626" s="378"/>
      <c r="C1626" s="379"/>
      <c r="D1626" s="379"/>
      <c r="E1626" s="379"/>
      <c r="F1626" s="379"/>
      <c r="G1626" s="380"/>
    </row>
    <row r="1627" spans="1:7" s="373" customFormat="1" ht="13.8" x14ac:dyDescent="0.3">
      <c r="A1627" s="378"/>
      <c r="B1627" s="378"/>
      <c r="C1627" s="379"/>
      <c r="D1627" s="379"/>
      <c r="E1627" s="379"/>
      <c r="F1627" s="379"/>
      <c r="G1627" s="380"/>
    </row>
    <row r="1628" spans="1:7" s="373" customFormat="1" ht="13.8" x14ac:dyDescent="0.3">
      <c r="A1628" s="378"/>
      <c r="B1628" s="378"/>
      <c r="C1628" s="379"/>
      <c r="D1628" s="379"/>
      <c r="E1628" s="379"/>
      <c r="F1628" s="379"/>
      <c r="G1628" s="380"/>
    </row>
    <row r="1629" spans="1:7" s="373" customFormat="1" ht="13.8" x14ac:dyDescent="0.3">
      <c r="A1629" s="378"/>
      <c r="B1629" s="378"/>
      <c r="C1629" s="379"/>
      <c r="D1629" s="379"/>
      <c r="E1629" s="379"/>
      <c r="F1629" s="379"/>
      <c r="G1629" s="380"/>
    </row>
    <row r="1630" spans="1:7" s="373" customFormat="1" ht="13.8" x14ac:dyDescent="0.3">
      <c r="A1630" s="378"/>
      <c r="B1630" s="378"/>
      <c r="C1630" s="379"/>
      <c r="D1630" s="379"/>
      <c r="E1630" s="379"/>
      <c r="F1630" s="379"/>
      <c r="G1630" s="380"/>
    </row>
    <row r="1631" spans="1:7" s="373" customFormat="1" ht="13.8" x14ac:dyDescent="0.3">
      <c r="A1631" s="378"/>
      <c r="B1631" s="378"/>
      <c r="C1631" s="379"/>
      <c r="D1631" s="379"/>
      <c r="E1631" s="379"/>
      <c r="F1631" s="379"/>
      <c r="G1631" s="380"/>
    </row>
    <row r="1632" spans="1:7" s="373" customFormat="1" ht="13.8" x14ac:dyDescent="0.3">
      <c r="A1632" s="378"/>
      <c r="B1632" s="378"/>
      <c r="C1632" s="379"/>
      <c r="D1632" s="379"/>
      <c r="E1632" s="379"/>
      <c r="F1632" s="379"/>
      <c r="G1632" s="380"/>
    </row>
    <row r="1633" spans="1:7" s="373" customFormat="1" ht="13.8" x14ac:dyDescent="0.3">
      <c r="A1633" s="378"/>
      <c r="B1633" s="378"/>
      <c r="C1633" s="379"/>
      <c r="D1633" s="379"/>
      <c r="E1633" s="379"/>
      <c r="F1633" s="379"/>
      <c r="G1633" s="380"/>
    </row>
    <row r="1634" spans="1:7" s="373" customFormat="1" ht="13.8" x14ac:dyDescent="0.3">
      <c r="A1634" s="378"/>
      <c r="B1634" s="378"/>
      <c r="C1634" s="379"/>
      <c r="D1634" s="379"/>
      <c r="E1634" s="379"/>
      <c r="F1634" s="379"/>
      <c r="G1634" s="380"/>
    </row>
    <row r="1635" spans="1:7" s="373" customFormat="1" ht="13.8" x14ac:dyDescent="0.3">
      <c r="A1635" s="378"/>
      <c r="B1635" s="378"/>
      <c r="C1635" s="379"/>
      <c r="D1635" s="379"/>
      <c r="E1635" s="379"/>
      <c r="F1635" s="379"/>
      <c r="G1635" s="380"/>
    </row>
    <row r="1636" spans="1:7" s="373" customFormat="1" ht="13.8" x14ac:dyDescent="0.3">
      <c r="A1636" s="378"/>
      <c r="B1636" s="378"/>
      <c r="C1636" s="379"/>
      <c r="D1636" s="379"/>
      <c r="E1636" s="379"/>
      <c r="F1636" s="379"/>
      <c r="G1636" s="380"/>
    </row>
    <row r="1637" spans="1:7" s="373" customFormat="1" ht="13.8" x14ac:dyDescent="0.3">
      <c r="A1637" s="378"/>
      <c r="B1637" s="378"/>
      <c r="C1637" s="379"/>
      <c r="D1637" s="379"/>
      <c r="E1637" s="379"/>
      <c r="F1637" s="379"/>
      <c r="G1637" s="380"/>
    </row>
    <row r="1638" spans="1:7" s="373" customFormat="1" ht="13.8" x14ac:dyDescent="0.3">
      <c r="A1638" s="378"/>
      <c r="B1638" s="378"/>
      <c r="C1638" s="379"/>
      <c r="D1638" s="379"/>
      <c r="E1638" s="379"/>
      <c r="F1638" s="379"/>
      <c r="G1638" s="380"/>
    </row>
    <row r="1639" spans="1:7" s="373" customFormat="1" ht="13.8" x14ac:dyDescent="0.3">
      <c r="A1639" s="378"/>
      <c r="B1639" s="378"/>
      <c r="C1639" s="379"/>
      <c r="D1639" s="379"/>
      <c r="E1639" s="379"/>
      <c r="F1639" s="379"/>
      <c r="G1639" s="380"/>
    </row>
    <row r="1640" spans="1:7" s="373" customFormat="1" ht="13.8" x14ac:dyDescent="0.3">
      <c r="A1640" s="378"/>
      <c r="B1640" s="378"/>
      <c r="C1640" s="379"/>
      <c r="D1640" s="379"/>
      <c r="E1640" s="379"/>
      <c r="F1640" s="379"/>
      <c r="G1640" s="380"/>
    </row>
    <row r="1641" spans="1:7" s="373" customFormat="1" ht="13.8" x14ac:dyDescent="0.3">
      <c r="A1641" s="378"/>
      <c r="B1641" s="378"/>
      <c r="C1641" s="379"/>
      <c r="D1641" s="379"/>
      <c r="E1641" s="379"/>
      <c r="F1641" s="379"/>
      <c r="G1641" s="380"/>
    </row>
    <row r="1642" spans="1:7" s="373" customFormat="1" ht="13.8" x14ac:dyDescent="0.3">
      <c r="A1642" s="378"/>
      <c r="B1642" s="378"/>
      <c r="C1642" s="379"/>
      <c r="D1642" s="379"/>
      <c r="E1642" s="379"/>
      <c r="F1642" s="379"/>
      <c r="G1642" s="380"/>
    </row>
    <row r="1643" spans="1:7" s="373" customFormat="1" ht="13.8" x14ac:dyDescent="0.3">
      <c r="A1643" s="378"/>
      <c r="B1643" s="378"/>
      <c r="C1643" s="379"/>
      <c r="D1643" s="379"/>
      <c r="E1643" s="379"/>
      <c r="F1643" s="379"/>
      <c r="G1643" s="380"/>
    </row>
    <row r="1644" spans="1:7" s="373" customFormat="1" ht="13.8" x14ac:dyDescent="0.3">
      <c r="A1644" s="378"/>
      <c r="B1644" s="378"/>
      <c r="C1644" s="379"/>
      <c r="D1644" s="379"/>
      <c r="E1644" s="379"/>
      <c r="F1644" s="379"/>
      <c r="G1644" s="380"/>
    </row>
    <row r="1645" spans="1:7" s="373" customFormat="1" ht="13.8" x14ac:dyDescent="0.3">
      <c r="A1645" s="378"/>
      <c r="B1645" s="378"/>
      <c r="C1645" s="379"/>
      <c r="D1645" s="379"/>
      <c r="E1645" s="379"/>
      <c r="F1645" s="379"/>
      <c r="G1645" s="380"/>
    </row>
    <row r="1646" spans="1:7" s="373" customFormat="1" ht="13.8" x14ac:dyDescent="0.3">
      <c r="A1646" s="378"/>
      <c r="B1646" s="378"/>
      <c r="C1646" s="379"/>
      <c r="D1646" s="379"/>
      <c r="E1646" s="379"/>
      <c r="F1646" s="379"/>
      <c r="G1646" s="380"/>
    </row>
    <row r="1647" spans="1:7" s="373" customFormat="1" ht="13.8" x14ac:dyDescent="0.3">
      <c r="A1647" s="378"/>
      <c r="B1647" s="378"/>
      <c r="C1647" s="379"/>
      <c r="D1647" s="379"/>
      <c r="E1647" s="379"/>
      <c r="F1647" s="379"/>
      <c r="G1647" s="380"/>
    </row>
    <row r="1648" spans="1:7" s="373" customFormat="1" ht="13.8" x14ac:dyDescent="0.3">
      <c r="A1648" s="378"/>
      <c r="B1648" s="378"/>
      <c r="C1648" s="379"/>
      <c r="D1648" s="379"/>
      <c r="E1648" s="379"/>
      <c r="F1648" s="379"/>
      <c r="G1648" s="380"/>
    </row>
    <row r="1649" spans="1:7" s="373" customFormat="1" ht="13.8" x14ac:dyDescent="0.3">
      <c r="A1649" s="378"/>
      <c r="B1649" s="378"/>
      <c r="C1649" s="379"/>
      <c r="D1649" s="379"/>
      <c r="E1649" s="379"/>
      <c r="F1649" s="379"/>
      <c r="G1649" s="380"/>
    </row>
    <row r="1650" spans="1:7" s="373" customFormat="1" ht="13.8" x14ac:dyDescent="0.3">
      <c r="A1650" s="378"/>
      <c r="B1650" s="378"/>
      <c r="C1650" s="379"/>
      <c r="D1650" s="379"/>
      <c r="E1650" s="379"/>
      <c r="F1650" s="379"/>
      <c r="G1650" s="380"/>
    </row>
    <row r="1651" spans="1:7" s="373" customFormat="1" ht="13.8" x14ac:dyDescent="0.3">
      <c r="A1651" s="378"/>
      <c r="B1651" s="378"/>
      <c r="C1651" s="379"/>
      <c r="D1651" s="379"/>
      <c r="E1651" s="379"/>
      <c r="F1651" s="379"/>
      <c r="G1651" s="380"/>
    </row>
    <row r="1652" spans="1:7" s="373" customFormat="1" ht="13.8" x14ac:dyDescent="0.3">
      <c r="A1652" s="378"/>
      <c r="B1652" s="378"/>
      <c r="C1652" s="379"/>
      <c r="D1652" s="379"/>
      <c r="E1652" s="379"/>
      <c r="F1652" s="379"/>
      <c r="G1652" s="380"/>
    </row>
    <row r="1653" spans="1:7" s="373" customFormat="1" ht="13.8" x14ac:dyDescent="0.3">
      <c r="A1653" s="378"/>
      <c r="B1653" s="378"/>
      <c r="C1653" s="379"/>
      <c r="D1653" s="379"/>
      <c r="E1653" s="379"/>
      <c r="F1653" s="379"/>
      <c r="G1653" s="380"/>
    </row>
    <row r="1654" spans="1:7" s="373" customFormat="1" ht="13.8" x14ac:dyDescent="0.3">
      <c r="A1654" s="378"/>
      <c r="B1654" s="378"/>
      <c r="C1654" s="379"/>
      <c r="D1654" s="379"/>
      <c r="E1654" s="379"/>
      <c r="F1654" s="379"/>
      <c r="G1654" s="380"/>
    </row>
    <row r="1655" spans="1:7" s="373" customFormat="1" ht="13.8" x14ac:dyDescent="0.3">
      <c r="A1655" s="378"/>
      <c r="B1655" s="378"/>
      <c r="C1655" s="379"/>
      <c r="D1655" s="379"/>
      <c r="E1655" s="379"/>
      <c r="F1655" s="379"/>
      <c r="G1655" s="380"/>
    </row>
    <row r="1656" spans="1:7" s="373" customFormat="1" ht="13.8" x14ac:dyDescent="0.3">
      <c r="A1656" s="378"/>
      <c r="B1656" s="378"/>
      <c r="C1656" s="379"/>
      <c r="D1656" s="379"/>
      <c r="E1656" s="379"/>
      <c r="F1656" s="379"/>
      <c r="G1656" s="380"/>
    </row>
    <row r="1657" spans="1:7" s="373" customFormat="1" ht="13.8" x14ac:dyDescent="0.3">
      <c r="A1657" s="378"/>
      <c r="B1657" s="378"/>
      <c r="C1657" s="379"/>
      <c r="D1657" s="379"/>
      <c r="E1657" s="379"/>
      <c r="F1657" s="379"/>
      <c r="G1657" s="380"/>
    </row>
    <row r="1658" spans="1:7" s="373" customFormat="1" ht="13.8" x14ac:dyDescent="0.3">
      <c r="A1658" s="378"/>
      <c r="B1658" s="378"/>
      <c r="C1658" s="379"/>
      <c r="D1658" s="379"/>
      <c r="E1658" s="379"/>
      <c r="F1658" s="379"/>
      <c r="G1658" s="380"/>
    </row>
    <row r="1659" spans="1:7" s="373" customFormat="1" ht="13.8" x14ac:dyDescent="0.3">
      <c r="A1659" s="378"/>
      <c r="B1659" s="378"/>
      <c r="C1659" s="379"/>
      <c r="D1659" s="379"/>
      <c r="E1659" s="379"/>
      <c r="F1659" s="379"/>
      <c r="G1659" s="380"/>
    </row>
    <row r="1660" spans="1:7" s="373" customFormat="1" ht="13.8" x14ac:dyDescent="0.3">
      <c r="A1660" s="378"/>
      <c r="B1660" s="378"/>
      <c r="C1660" s="379"/>
      <c r="D1660" s="379"/>
      <c r="E1660" s="379"/>
      <c r="F1660" s="379"/>
      <c r="G1660" s="380"/>
    </row>
    <row r="1661" spans="1:7" s="373" customFormat="1" ht="13.8" x14ac:dyDescent="0.3">
      <c r="A1661" s="378"/>
      <c r="B1661" s="378"/>
      <c r="C1661" s="379"/>
      <c r="D1661" s="379"/>
      <c r="E1661" s="379"/>
      <c r="F1661" s="379"/>
      <c r="G1661" s="380"/>
    </row>
    <row r="1662" spans="1:7" s="373" customFormat="1" ht="13.8" x14ac:dyDescent="0.3">
      <c r="A1662" s="378"/>
      <c r="B1662" s="378"/>
      <c r="C1662" s="379"/>
      <c r="D1662" s="379"/>
      <c r="E1662" s="379"/>
      <c r="F1662" s="379"/>
      <c r="G1662" s="380"/>
    </row>
    <row r="1663" spans="1:7" s="373" customFormat="1" ht="13.8" x14ac:dyDescent="0.3">
      <c r="A1663" s="378"/>
      <c r="B1663" s="378"/>
      <c r="C1663" s="379"/>
      <c r="D1663" s="379"/>
      <c r="E1663" s="379"/>
      <c r="F1663" s="379"/>
      <c r="G1663" s="380"/>
    </row>
    <row r="1664" spans="1:7" s="373" customFormat="1" ht="13.8" x14ac:dyDescent="0.3">
      <c r="A1664" s="378"/>
      <c r="B1664" s="378"/>
      <c r="C1664" s="379"/>
      <c r="D1664" s="379"/>
      <c r="E1664" s="379"/>
      <c r="F1664" s="379"/>
      <c r="G1664" s="380"/>
    </row>
    <row r="1665" spans="1:7" s="373" customFormat="1" ht="13.8" x14ac:dyDescent="0.3">
      <c r="A1665" s="378"/>
      <c r="B1665" s="378"/>
      <c r="C1665" s="379"/>
      <c r="D1665" s="379"/>
      <c r="E1665" s="379"/>
      <c r="F1665" s="379"/>
      <c r="G1665" s="380"/>
    </row>
    <row r="1666" spans="1:7" s="373" customFormat="1" ht="13.8" x14ac:dyDescent="0.3">
      <c r="A1666" s="378"/>
      <c r="B1666" s="378"/>
      <c r="C1666" s="379"/>
      <c r="D1666" s="379"/>
      <c r="E1666" s="379"/>
      <c r="F1666" s="379"/>
      <c r="G1666" s="380"/>
    </row>
    <row r="1667" spans="1:7" s="373" customFormat="1" ht="13.8" x14ac:dyDescent="0.3">
      <c r="A1667" s="378"/>
      <c r="B1667" s="378"/>
      <c r="C1667" s="379"/>
      <c r="D1667" s="379"/>
      <c r="E1667" s="379"/>
      <c r="F1667" s="379"/>
      <c r="G1667" s="380"/>
    </row>
    <row r="1668" spans="1:7" s="373" customFormat="1" ht="13.8" x14ac:dyDescent="0.3">
      <c r="A1668" s="378"/>
      <c r="B1668" s="378"/>
      <c r="C1668" s="379"/>
      <c r="D1668" s="379"/>
      <c r="E1668" s="379"/>
      <c r="F1668" s="379"/>
      <c r="G1668" s="380"/>
    </row>
    <row r="1669" spans="1:7" s="373" customFormat="1" ht="13.8" x14ac:dyDescent="0.3">
      <c r="A1669" s="378"/>
      <c r="B1669" s="378"/>
      <c r="C1669" s="379"/>
      <c r="D1669" s="379"/>
      <c r="E1669" s="379"/>
      <c r="F1669" s="379"/>
      <c r="G1669" s="380"/>
    </row>
    <row r="1670" spans="1:7" s="373" customFormat="1" ht="13.8" x14ac:dyDescent="0.3">
      <c r="A1670" s="378"/>
      <c r="B1670" s="378"/>
      <c r="C1670" s="379"/>
      <c r="D1670" s="379"/>
      <c r="E1670" s="379"/>
      <c r="F1670" s="379"/>
      <c r="G1670" s="380"/>
    </row>
    <row r="1671" spans="1:7" s="373" customFormat="1" ht="13.8" x14ac:dyDescent="0.3">
      <c r="A1671" s="378"/>
      <c r="B1671" s="378"/>
      <c r="C1671" s="379"/>
      <c r="D1671" s="379"/>
      <c r="E1671" s="379"/>
      <c r="F1671" s="379"/>
      <c r="G1671" s="380"/>
    </row>
    <row r="1672" spans="1:7" s="373" customFormat="1" ht="13.8" x14ac:dyDescent="0.3">
      <c r="A1672" s="378"/>
      <c r="B1672" s="378"/>
      <c r="C1672" s="379"/>
      <c r="D1672" s="379"/>
      <c r="E1672" s="379"/>
      <c r="F1672" s="379"/>
      <c r="G1672" s="380"/>
    </row>
    <row r="1673" spans="1:7" s="373" customFormat="1" ht="13.8" x14ac:dyDescent="0.3">
      <c r="A1673" s="378"/>
      <c r="B1673" s="378"/>
      <c r="C1673" s="379"/>
      <c r="D1673" s="379"/>
      <c r="E1673" s="379"/>
      <c r="F1673" s="379"/>
      <c r="G1673" s="380"/>
    </row>
    <row r="1674" spans="1:7" s="373" customFormat="1" ht="13.8" x14ac:dyDescent="0.3">
      <c r="A1674" s="378"/>
      <c r="B1674" s="378"/>
      <c r="C1674" s="379"/>
      <c r="D1674" s="379"/>
      <c r="E1674" s="379"/>
      <c r="F1674" s="379"/>
      <c r="G1674" s="380"/>
    </row>
    <row r="1675" spans="1:7" s="373" customFormat="1" ht="13.8" x14ac:dyDescent="0.3">
      <c r="A1675" s="378"/>
      <c r="B1675" s="378"/>
      <c r="C1675" s="379"/>
      <c r="D1675" s="379"/>
      <c r="E1675" s="379"/>
      <c r="F1675" s="379"/>
      <c r="G1675" s="380"/>
    </row>
    <row r="1676" spans="1:7" s="373" customFormat="1" ht="13.8" x14ac:dyDescent="0.3">
      <c r="A1676" s="378"/>
      <c r="B1676" s="378"/>
      <c r="C1676" s="379"/>
      <c r="D1676" s="379"/>
      <c r="E1676" s="379"/>
      <c r="F1676" s="379"/>
      <c r="G1676" s="380"/>
    </row>
    <row r="1677" spans="1:7" s="373" customFormat="1" ht="13.8" x14ac:dyDescent="0.3">
      <c r="A1677" s="378"/>
      <c r="B1677" s="378"/>
      <c r="C1677" s="379"/>
      <c r="D1677" s="379"/>
      <c r="E1677" s="379"/>
      <c r="F1677" s="379"/>
      <c r="G1677" s="380"/>
    </row>
    <row r="1678" spans="1:7" s="373" customFormat="1" ht="13.8" x14ac:dyDescent="0.3">
      <c r="A1678" s="378"/>
      <c r="B1678" s="378"/>
      <c r="C1678" s="379"/>
      <c r="D1678" s="379"/>
      <c r="E1678" s="379"/>
      <c r="F1678" s="379"/>
      <c r="G1678" s="380"/>
    </row>
    <row r="1679" spans="1:7" s="373" customFormat="1" ht="13.8" x14ac:dyDescent="0.3">
      <c r="A1679" s="378"/>
      <c r="B1679" s="378"/>
      <c r="C1679" s="379"/>
      <c r="D1679" s="379"/>
      <c r="E1679" s="379"/>
      <c r="F1679" s="379"/>
      <c r="G1679" s="380"/>
    </row>
    <row r="1680" spans="1:7" s="373" customFormat="1" ht="13.8" x14ac:dyDescent="0.3">
      <c r="A1680" s="378"/>
      <c r="B1680" s="378"/>
      <c r="C1680" s="379"/>
      <c r="D1680" s="379"/>
      <c r="E1680" s="379"/>
      <c r="F1680" s="379"/>
      <c r="G1680" s="380"/>
    </row>
    <row r="1681" spans="1:7" s="373" customFormat="1" ht="13.8" x14ac:dyDescent="0.3">
      <c r="A1681" s="378"/>
      <c r="B1681" s="378"/>
      <c r="C1681" s="379"/>
      <c r="D1681" s="379"/>
      <c r="E1681" s="379"/>
      <c r="F1681" s="379"/>
      <c r="G1681" s="380"/>
    </row>
    <row r="1682" spans="1:7" s="373" customFormat="1" ht="13.8" x14ac:dyDescent="0.3">
      <c r="A1682" s="378"/>
      <c r="B1682" s="378"/>
      <c r="C1682" s="379"/>
      <c r="D1682" s="379"/>
      <c r="E1682" s="379"/>
      <c r="F1682" s="379"/>
      <c r="G1682" s="380"/>
    </row>
    <row r="1683" spans="1:7" s="373" customFormat="1" ht="13.8" x14ac:dyDescent="0.3">
      <c r="A1683" s="378"/>
      <c r="B1683" s="378"/>
      <c r="C1683" s="379"/>
      <c r="D1683" s="379"/>
      <c r="E1683" s="379"/>
      <c r="F1683" s="379"/>
      <c r="G1683" s="380"/>
    </row>
    <row r="1684" spans="1:7" s="373" customFormat="1" ht="13.8" x14ac:dyDescent="0.3">
      <c r="A1684" s="378"/>
      <c r="B1684" s="378"/>
      <c r="C1684" s="379"/>
      <c r="D1684" s="379"/>
      <c r="E1684" s="379"/>
      <c r="F1684" s="379"/>
      <c r="G1684" s="380"/>
    </row>
    <row r="1685" spans="1:7" s="373" customFormat="1" ht="13.8" x14ac:dyDescent="0.3">
      <c r="A1685" s="378"/>
      <c r="B1685" s="378"/>
      <c r="C1685" s="379"/>
      <c r="D1685" s="379"/>
      <c r="E1685" s="379"/>
      <c r="F1685" s="379"/>
      <c r="G1685" s="380"/>
    </row>
    <row r="1686" spans="1:7" s="373" customFormat="1" ht="13.8" x14ac:dyDescent="0.3">
      <c r="A1686" s="378"/>
      <c r="B1686" s="378"/>
      <c r="C1686" s="379"/>
      <c r="D1686" s="379"/>
      <c r="E1686" s="379"/>
      <c r="F1686" s="379"/>
      <c r="G1686" s="380"/>
    </row>
    <row r="1687" spans="1:7" s="373" customFormat="1" ht="13.8" x14ac:dyDescent="0.3">
      <c r="A1687" s="378"/>
      <c r="B1687" s="378"/>
      <c r="C1687" s="379"/>
      <c r="D1687" s="379"/>
      <c r="E1687" s="379"/>
      <c r="F1687" s="379"/>
      <c r="G1687" s="380"/>
    </row>
    <row r="1688" spans="1:7" s="373" customFormat="1" ht="13.8" x14ac:dyDescent="0.3">
      <c r="A1688" s="378"/>
      <c r="B1688" s="378"/>
      <c r="C1688" s="379"/>
      <c r="D1688" s="379"/>
      <c r="E1688" s="379"/>
      <c r="F1688" s="379"/>
      <c r="G1688" s="380"/>
    </row>
    <row r="1689" spans="1:7" s="373" customFormat="1" ht="13.8" x14ac:dyDescent="0.3">
      <c r="A1689" s="378"/>
      <c r="B1689" s="378"/>
      <c r="C1689" s="379"/>
      <c r="D1689" s="379"/>
      <c r="E1689" s="379"/>
      <c r="F1689" s="379"/>
      <c r="G1689" s="380"/>
    </row>
    <row r="1690" spans="1:7" s="373" customFormat="1" ht="13.8" x14ac:dyDescent="0.3">
      <c r="A1690" s="378"/>
      <c r="B1690" s="378"/>
      <c r="C1690" s="379"/>
      <c r="D1690" s="379"/>
      <c r="E1690" s="379"/>
      <c r="F1690" s="379"/>
      <c r="G1690" s="380"/>
    </row>
    <row r="1691" spans="1:7" s="373" customFormat="1" ht="13.8" x14ac:dyDescent="0.3">
      <c r="A1691" s="378"/>
      <c r="B1691" s="378"/>
      <c r="C1691" s="379"/>
      <c r="D1691" s="379"/>
      <c r="E1691" s="379"/>
      <c r="F1691" s="379"/>
      <c r="G1691" s="380"/>
    </row>
    <row r="1692" spans="1:7" s="373" customFormat="1" ht="13.8" x14ac:dyDescent="0.3">
      <c r="A1692" s="378"/>
      <c r="B1692" s="378"/>
      <c r="C1692" s="379"/>
      <c r="D1692" s="379"/>
      <c r="E1692" s="379"/>
      <c r="F1692" s="379"/>
      <c r="G1692" s="380"/>
    </row>
    <row r="1693" spans="1:7" s="373" customFormat="1" ht="13.8" x14ac:dyDescent="0.3">
      <c r="A1693" s="378"/>
      <c r="B1693" s="378"/>
      <c r="C1693" s="379"/>
      <c r="D1693" s="379"/>
      <c r="E1693" s="379"/>
      <c r="F1693" s="379"/>
      <c r="G1693" s="380"/>
    </row>
    <row r="1694" spans="1:7" s="373" customFormat="1" ht="13.8" x14ac:dyDescent="0.3">
      <c r="A1694" s="378"/>
      <c r="B1694" s="378"/>
      <c r="C1694" s="379"/>
      <c r="D1694" s="379"/>
      <c r="E1694" s="379"/>
      <c r="F1694" s="379"/>
      <c r="G1694" s="380"/>
    </row>
    <row r="1695" spans="1:7" s="373" customFormat="1" ht="13.8" x14ac:dyDescent="0.3">
      <c r="A1695" s="378"/>
      <c r="B1695" s="378"/>
      <c r="C1695" s="379"/>
      <c r="D1695" s="379"/>
      <c r="E1695" s="379"/>
      <c r="F1695" s="379"/>
      <c r="G1695" s="380"/>
    </row>
    <row r="1696" spans="1:7" s="373" customFormat="1" ht="13.8" x14ac:dyDescent="0.3">
      <c r="A1696" s="378"/>
      <c r="B1696" s="378"/>
      <c r="C1696" s="379"/>
      <c r="D1696" s="379"/>
      <c r="E1696" s="379"/>
      <c r="F1696" s="379"/>
      <c r="G1696" s="380"/>
    </row>
    <row r="1697" spans="1:7" s="373" customFormat="1" ht="13.8" x14ac:dyDescent="0.3">
      <c r="A1697" s="378"/>
      <c r="B1697" s="378"/>
      <c r="C1697" s="379"/>
      <c r="D1697" s="379"/>
      <c r="E1697" s="379"/>
      <c r="F1697" s="379"/>
      <c r="G1697" s="380"/>
    </row>
    <row r="1698" spans="1:7" s="373" customFormat="1" ht="13.8" x14ac:dyDescent="0.3">
      <c r="A1698" s="378"/>
      <c r="B1698" s="378"/>
      <c r="C1698" s="379"/>
      <c r="D1698" s="379"/>
      <c r="E1698" s="379"/>
      <c r="F1698" s="379"/>
      <c r="G1698" s="380"/>
    </row>
    <row r="1699" spans="1:7" s="373" customFormat="1" ht="13.8" x14ac:dyDescent="0.3">
      <c r="A1699" s="378"/>
      <c r="B1699" s="378"/>
      <c r="C1699" s="379"/>
      <c r="D1699" s="379"/>
      <c r="E1699" s="379"/>
      <c r="F1699" s="379"/>
      <c r="G1699" s="380"/>
    </row>
    <row r="1700" spans="1:7" s="373" customFormat="1" ht="13.8" x14ac:dyDescent="0.3">
      <c r="A1700" s="378"/>
      <c r="B1700" s="378"/>
      <c r="C1700" s="379"/>
      <c r="D1700" s="379"/>
      <c r="E1700" s="379"/>
      <c r="F1700" s="379"/>
      <c r="G1700" s="380"/>
    </row>
    <row r="1701" spans="1:7" s="373" customFormat="1" ht="13.8" x14ac:dyDescent="0.3">
      <c r="A1701" s="378"/>
      <c r="B1701" s="378"/>
      <c r="C1701" s="379"/>
      <c r="D1701" s="379"/>
      <c r="E1701" s="379"/>
      <c r="F1701" s="379"/>
      <c r="G1701" s="380"/>
    </row>
    <row r="1702" spans="1:7" s="373" customFormat="1" ht="13.8" x14ac:dyDescent="0.3">
      <c r="A1702" s="378"/>
      <c r="B1702" s="378"/>
      <c r="C1702" s="379"/>
      <c r="D1702" s="379"/>
      <c r="E1702" s="379"/>
      <c r="F1702" s="379"/>
      <c r="G1702" s="380"/>
    </row>
    <row r="1703" spans="1:7" s="373" customFormat="1" ht="13.8" x14ac:dyDescent="0.3">
      <c r="A1703" s="378"/>
      <c r="B1703" s="378"/>
      <c r="C1703" s="379"/>
      <c r="D1703" s="379"/>
      <c r="E1703" s="379"/>
      <c r="F1703" s="379"/>
      <c r="G1703" s="380"/>
    </row>
    <row r="1704" spans="1:7" s="373" customFormat="1" ht="13.8" x14ac:dyDescent="0.3">
      <c r="A1704" s="378"/>
      <c r="B1704" s="378"/>
      <c r="C1704" s="379"/>
      <c r="D1704" s="379"/>
      <c r="E1704" s="379"/>
      <c r="F1704" s="379"/>
      <c r="G1704" s="380"/>
    </row>
    <row r="1705" spans="1:7" s="373" customFormat="1" ht="13.8" x14ac:dyDescent="0.3">
      <c r="A1705" s="378"/>
      <c r="B1705" s="378"/>
      <c r="C1705" s="379"/>
      <c r="D1705" s="379"/>
      <c r="E1705" s="379"/>
      <c r="F1705" s="379"/>
      <c r="G1705" s="380"/>
    </row>
    <row r="1706" spans="1:7" s="373" customFormat="1" ht="13.8" x14ac:dyDescent="0.3">
      <c r="A1706" s="378"/>
      <c r="B1706" s="378"/>
      <c r="C1706" s="379"/>
      <c r="D1706" s="379"/>
      <c r="E1706" s="379"/>
      <c r="F1706" s="379"/>
      <c r="G1706" s="380"/>
    </row>
    <row r="1707" spans="1:7" s="373" customFormat="1" ht="13.8" x14ac:dyDescent="0.3">
      <c r="A1707" s="378"/>
      <c r="B1707" s="378"/>
      <c r="C1707" s="379"/>
      <c r="D1707" s="379"/>
      <c r="E1707" s="379"/>
      <c r="F1707" s="379"/>
      <c r="G1707" s="380"/>
    </row>
    <row r="1708" spans="1:7" s="373" customFormat="1" ht="13.8" x14ac:dyDescent="0.3">
      <c r="A1708" s="378"/>
      <c r="B1708" s="378"/>
      <c r="C1708" s="379"/>
      <c r="D1708" s="379"/>
      <c r="E1708" s="379"/>
      <c r="F1708" s="379"/>
      <c r="G1708" s="380"/>
    </row>
    <row r="1709" spans="1:7" s="373" customFormat="1" ht="13.8" x14ac:dyDescent="0.3">
      <c r="A1709" s="378"/>
      <c r="B1709" s="378"/>
      <c r="C1709" s="379"/>
      <c r="D1709" s="379"/>
      <c r="E1709" s="379"/>
      <c r="F1709" s="379"/>
      <c r="G1709" s="380"/>
    </row>
    <row r="1710" spans="1:7" s="373" customFormat="1" ht="13.8" x14ac:dyDescent="0.3">
      <c r="A1710" s="378"/>
      <c r="B1710" s="378"/>
      <c r="C1710" s="379"/>
      <c r="D1710" s="379"/>
      <c r="E1710" s="379"/>
      <c r="F1710" s="379"/>
      <c r="G1710" s="380"/>
    </row>
    <row r="1711" spans="1:7" s="373" customFormat="1" ht="13.8" x14ac:dyDescent="0.3">
      <c r="A1711" s="378"/>
      <c r="B1711" s="378"/>
      <c r="C1711" s="379"/>
      <c r="D1711" s="379"/>
      <c r="E1711" s="379"/>
      <c r="F1711" s="379"/>
      <c r="G1711" s="380"/>
    </row>
    <row r="1712" spans="1:7" s="373" customFormat="1" ht="13.8" x14ac:dyDescent="0.3">
      <c r="A1712" s="378"/>
      <c r="B1712" s="378"/>
      <c r="C1712" s="379"/>
      <c r="D1712" s="379"/>
      <c r="E1712" s="379"/>
      <c r="F1712" s="379"/>
      <c r="G1712" s="380"/>
    </row>
    <row r="1713" spans="1:7" s="373" customFormat="1" ht="13.8" x14ac:dyDescent="0.3">
      <c r="A1713" s="378"/>
      <c r="B1713" s="378"/>
      <c r="C1713" s="379"/>
      <c r="D1713" s="379"/>
      <c r="E1713" s="379"/>
      <c r="F1713" s="379"/>
      <c r="G1713" s="380"/>
    </row>
    <row r="1714" spans="1:7" s="373" customFormat="1" ht="13.8" x14ac:dyDescent="0.3">
      <c r="A1714" s="378"/>
      <c r="B1714" s="378"/>
      <c r="C1714" s="379"/>
      <c r="D1714" s="379"/>
      <c r="E1714" s="379"/>
      <c r="F1714" s="379"/>
      <c r="G1714" s="380"/>
    </row>
    <row r="1715" spans="1:7" s="373" customFormat="1" ht="13.8" x14ac:dyDescent="0.3">
      <c r="A1715" s="378"/>
      <c r="B1715" s="378"/>
      <c r="C1715" s="379"/>
      <c r="D1715" s="379"/>
      <c r="E1715" s="379"/>
      <c r="F1715" s="379"/>
      <c r="G1715" s="380"/>
    </row>
    <row r="1716" spans="1:7" s="373" customFormat="1" ht="13.8" x14ac:dyDescent="0.3">
      <c r="A1716" s="378"/>
      <c r="B1716" s="378"/>
      <c r="C1716" s="379"/>
      <c r="D1716" s="379"/>
      <c r="E1716" s="379"/>
      <c r="F1716" s="379"/>
      <c r="G1716" s="380"/>
    </row>
    <row r="1717" spans="1:7" s="373" customFormat="1" ht="13.8" x14ac:dyDescent="0.3">
      <c r="A1717" s="378"/>
      <c r="B1717" s="378"/>
      <c r="C1717" s="379"/>
      <c r="D1717" s="379"/>
      <c r="E1717" s="379"/>
      <c r="F1717" s="379"/>
      <c r="G1717" s="380"/>
    </row>
    <row r="1718" spans="1:7" s="373" customFormat="1" ht="13.8" x14ac:dyDescent="0.3">
      <c r="A1718" s="378"/>
      <c r="B1718" s="378"/>
      <c r="C1718" s="379"/>
      <c r="D1718" s="379"/>
      <c r="E1718" s="379"/>
      <c r="F1718" s="379"/>
      <c r="G1718" s="380"/>
    </row>
    <row r="1719" spans="1:7" s="373" customFormat="1" ht="13.8" x14ac:dyDescent="0.3">
      <c r="A1719" s="378"/>
      <c r="B1719" s="378"/>
      <c r="C1719" s="379"/>
      <c r="D1719" s="379"/>
      <c r="E1719" s="379"/>
      <c r="F1719" s="379"/>
      <c r="G1719" s="380"/>
    </row>
    <row r="1720" spans="1:7" s="373" customFormat="1" ht="13.8" x14ac:dyDescent="0.3">
      <c r="A1720" s="378"/>
      <c r="B1720" s="378"/>
      <c r="C1720" s="379"/>
      <c r="D1720" s="379"/>
      <c r="E1720" s="379"/>
      <c r="F1720" s="379"/>
      <c r="G1720" s="380"/>
    </row>
    <row r="1721" spans="1:7" s="373" customFormat="1" ht="13.8" x14ac:dyDescent="0.3">
      <c r="A1721" s="378"/>
      <c r="B1721" s="378"/>
      <c r="C1721" s="379"/>
      <c r="D1721" s="379"/>
      <c r="E1721" s="379"/>
      <c r="F1721" s="379"/>
      <c r="G1721" s="380"/>
    </row>
    <row r="1722" spans="1:7" s="373" customFormat="1" ht="13.8" x14ac:dyDescent="0.3">
      <c r="A1722" s="378"/>
      <c r="B1722" s="378"/>
      <c r="C1722" s="379"/>
      <c r="D1722" s="379"/>
      <c r="E1722" s="379"/>
      <c r="F1722" s="379"/>
      <c r="G1722" s="380"/>
    </row>
    <row r="1723" spans="1:7" s="373" customFormat="1" ht="13.8" x14ac:dyDescent="0.3">
      <c r="A1723" s="378"/>
      <c r="B1723" s="378"/>
      <c r="C1723" s="379"/>
      <c r="D1723" s="379"/>
      <c r="E1723" s="379"/>
      <c r="F1723" s="379"/>
      <c r="G1723" s="380"/>
    </row>
    <row r="1724" spans="1:7" s="373" customFormat="1" ht="13.8" x14ac:dyDescent="0.3">
      <c r="A1724" s="378"/>
      <c r="B1724" s="378"/>
      <c r="C1724" s="379"/>
      <c r="D1724" s="379"/>
      <c r="E1724" s="379"/>
      <c r="F1724" s="379"/>
      <c r="G1724" s="380"/>
    </row>
    <row r="1725" spans="1:7" s="373" customFormat="1" ht="13.8" x14ac:dyDescent="0.3">
      <c r="A1725" s="378"/>
      <c r="B1725" s="378"/>
      <c r="C1725" s="379"/>
      <c r="D1725" s="379"/>
      <c r="E1725" s="379"/>
      <c r="F1725" s="379"/>
      <c r="G1725" s="380"/>
    </row>
    <row r="1726" spans="1:7" s="373" customFormat="1" ht="13.8" x14ac:dyDescent="0.3">
      <c r="A1726" s="378"/>
      <c r="B1726" s="378"/>
      <c r="C1726" s="379"/>
      <c r="D1726" s="379"/>
      <c r="E1726" s="379"/>
      <c r="F1726" s="379"/>
      <c r="G1726" s="380"/>
    </row>
    <row r="1727" spans="1:7" s="373" customFormat="1" ht="13.8" x14ac:dyDescent="0.3">
      <c r="A1727" s="378"/>
      <c r="B1727" s="378"/>
      <c r="C1727" s="379"/>
      <c r="D1727" s="379"/>
      <c r="E1727" s="379"/>
      <c r="F1727" s="379"/>
      <c r="G1727" s="380"/>
    </row>
    <row r="1728" spans="1:7" s="373" customFormat="1" ht="13.8" x14ac:dyDescent="0.3">
      <c r="A1728" s="378"/>
      <c r="B1728" s="378"/>
      <c r="C1728" s="379"/>
      <c r="D1728" s="379"/>
      <c r="E1728" s="379"/>
      <c r="F1728" s="379"/>
      <c r="G1728" s="380"/>
    </row>
    <row r="1729" spans="1:7" s="373" customFormat="1" ht="13.8" x14ac:dyDescent="0.3">
      <c r="A1729" s="378"/>
      <c r="B1729" s="378"/>
      <c r="C1729" s="379"/>
      <c r="D1729" s="379"/>
      <c r="E1729" s="379"/>
      <c r="F1729" s="379"/>
      <c r="G1729" s="380"/>
    </row>
    <row r="1730" spans="1:7" s="373" customFormat="1" ht="13.8" x14ac:dyDescent="0.3">
      <c r="A1730" s="378"/>
      <c r="B1730" s="378"/>
      <c r="C1730" s="379"/>
      <c r="D1730" s="379"/>
      <c r="E1730" s="379"/>
      <c r="F1730" s="379"/>
      <c r="G1730" s="380"/>
    </row>
    <row r="1731" spans="1:7" s="373" customFormat="1" ht="13.8" x14ac:dyDescent="0.3">
      <c r="A1731" s="378"/>
      <c r="B1731" s="378"/>
      <c r="C1731" s="379"/>
      <c r="D1731" s="379"/>
      <c r="E1731" s="379"/>
      <c r="F1731" s="379"/>
      <c r="G1731" s="380"/>
    </row>
    <row r="1732" spans="1:7" s="373" customFormat="1" ht="13.8" x14ac:dyDescent="0.3">
      <c r="A1732" s="378"/>
      <c r="B1732" s="378"/>
      <c r="C1732" s="379"/>
      <c r="D1732" s="379"/>
      <c r="E1732" s="379"/>
      <c r="F1732" s="379"/>
      <c r="G1732" s="380"/>
    </row>
    <row r="1733" spans="1:7" s="373" customFormat="1" ht="13.8" x14ac:dyDescent="0.3">
      <c r="A1733" s="378"/>
      <c r="B1733" s="378"/>
      <c r="C1733" s="379"/>
      <c r="D1733" s="379"/>
      <c r="E1733" s="379"/>
      <c r="F1733" s="379"/>
      <c r="G1733" s="380"/>
    </row>
    <row r="1734" spans="1:7" s="373" customFormat="1" ht="13.8" x14ac:dyDescent="0.3">
      <c r="A1734" s="378"/>
      <c r="B1734" s="378"/>
      <c r="C1734" s="379"/>
      <c r="D1734" s="379"/>
      <c r="E1734" s="379"/>
      <c r="F1734" s="379"/>
      <c r="G1734" s="380"/>
    </row>
    <row r="1735" spans="1:7" s="373" customFormat="1" ht="13.8" x14ac:dyDescent="0.3">
      <c r="A1735" s="378"/>
      <c r="B1735" s="378"/>
      <c r="C1735" s="379"/>
      <c r="D1735" s="379"/>
      <c r="E1735" s="379"/>
      <c r="F1735" s="379"/>
      <c r="G1735" s="380"/>
    </row>
    <row r="1736" spans="1:7" s="373" customFormat="1" ht="13.8" x14ac:dyDescent="0.3">
      <c r="A1736" s="378"/>
      <c r="B1736" s="378"/>
      <c r="C1736" s="379"/>
      <c r="D1736" s="379"/>
      <c r="E1736" s="379"/>
      <c r="F1736" s="379"/>
      <c r="G1736" s="380"/>
    </row>
    <row r="1737" spans="1:7" s="373" customFormat="1" ht="13.8" x14ac:dyDescent="0.3">
      <c r="A1737" s="378"/>
      <c r="B1737" s="378"/>
      <c r="C1737" s="379"/>
      <c r="D1737" s="379"/>
      <c r="E1737" s="379"/>
      <c r="F1737" s="379"/>
      <c r="G1737" s="380"/>
    </row>
    <row r="1738" spans="1:7" s="373" customFormat="1" ht="13.8" x14ac:dyDescent="0.3">
      <c r="A1738" s="378"/>
      <c r="B1738" s="378"/>
      <c r="C1738" s="379"/>
      <c r="D1738" s="379"/>
      <c r="E1738" s="379"/>
      <c r="F1738" s="379"/>
      <c r="G1738" s="380"/>
    </row>
    <row r="1739" spans="1:7" s="373" customFormat="1" ht="13.8" x14ac:dyDescent="0.3">
      <c r="A1739" s="378"/>
      <c r="B1739" s="378"/>
      <c r="C1739" s="379"/>
      <c r="D1739" s="379"/>
      <c r="E1739" s="379"/>
      <c r="F1739" s="379"/>
      <c r="G1739" s="380"/>
    </row>
    <row r="1740" spans="1:7" s="373" customFormat="1" ht="13.8" x14ac:dyDescent="0.3">
      <c r="A1740" s="378"/>
      <c r="B1740" s="378"/>
      <c r="C1740" s="379"/>
      <c r="D1740" s="379"/>
      <c r="E1740" s="379"/>
      <c r="F1740" s="379"/>
      <c r="G1740" s="380"/>
    </row>
    <row r="1741" spans="1:7" s="373" customFormat="1" ht="13.8" x14ac:dyDescent="0.3">
      <c r="A1741" s="378"/>
      <c r="B1741" s="378"/>
      <c r="C1741" s="379"/>
      <c r="D1741" s="379"/>
      <c r="E1741" s="379"/>
      <c r="F1741" s="379"/>
      <c r="G1741" s="380"/>
    </row>
    <row r="1742" spans="1:7" s="373" customFormat="1" ht="13.8" x14ac:dyDescent="0.3">
      <c r="A1742" s="378"/>
      <c r="B1742" s="378"/>
      <c r="C1742" s="379"/>
      <c r="D1742" s="379"/>
      <c r="E1742" s="379"/>
      <c r="F1742" s="379"/>
      <c r="G1742" s="380"/>
    </row>
    <row r="1743" spans="1:7" s="373" customFormat="1" ht="13.8" x14ac:dyDescent="0.3">
      <c r="A1743" s="378"/>
      <c r="B1743" s="378"/>
      <c r="C1743" s="379"/>
      <c r="D1743" s="379"/>
      <c r="E1743" s="379"/>
      <c r="F1743" s="379"/>
      <c r="G1743" s="380"/>
    </row>
    <row r="1744" spans="1:7" s="373" customFormat="1" ht="13.8" x14ac:dyDescent="0.3">
      <c r="A1744" s="378"/>
      <c r="B1744" s="378"/>
      <c r="C1744" s="379"/>
      <c r="D1744" s="379"/>
      <c r="E1744" s="379"/>
      <c r="F1744" s="379"/>
      <c r="G1744" s="380"/>
    </row>
    <row r="1745" spans="1:7" s="373" customFormat="1" ht="13.8" x14ac:dyDescent="0.3">
      <c r="A1745" s="378"/>
      <c r="B1745" s="378"/>
      <c r="C1745" s="379"/>
      <c r="D1745" s="379"/>
      <c r="E1745" s="379"/>
      <c r="F1745" s="379"/>
      <c r="G1745" s="380"/>
    </row>
    <row r="1746" spans="1:7" s="373" customFormat="1" ht="13.8" x14ac:dyDescent="0.3">
      <c r="A1746" s="378"/>
      <c r="B1746" s="378"/>
      <c r="C1746" s="379"/>
      <c r="D1746" s="379"/>
      <c r="E1746" s="379"/>
      <c r="F1746" s="379"/>
      <c r="G1746" s="380"/>
    </row>
    <row r="1747" spans="1:7" s="373" customFormat="1" ht="13.8" x14ac:dyDescent="0.3">
      <c r="A1747" s="378"/>
      <c r="B1747" s="378"/>
      <c r="C1747" s="379"/>
      <c r="D1747" s="379"/>
      <c r="E1747" s="379"/>
      <c r="F1747" s="379"/>
      <c r="G1747" s="380"/>
    </row>
    <row r="1748" spans="1:7" s="373" customFormat="1" ht="13.8" x14ac:dyDescent="0.3">
      <c r="A1748" s="378"/>
      <c r="B1748" s="378"/>
      <c r="C1748" s="379"/>
      <c r="D1748" s="379"/>
      <c r="E1748" s="379"/>
      <c r="F1748" s="379"/>
      <c r="G1748" s="380"/>
    </row>
    <row r="1749" spans="1:7" s="373" customFormat="1" ht="13.8" x14ac:dyDescent="0.3">
      <c r="A1749" s="378"/>
      <c r="B1749" s="378"/>
      <c r="C1749" s="379"/>
      <c r="D1749" s="379"/>
      <c r="E1749" s="379"/>
      <c r="F1749" s="379"/>
      <c r="G1749" s="380"/>
    </row>
    <row r="1750" spans="1:7" s="373" customFormat="1" ht="13.8" x14ac:dyDescent="0.3">
      <c r="A1750" s="378"/>
      <c r="B1750" s="378"/>
      <c r="C1750" s="379"/>
      <c r="D1750" s="379"/>
      <c r="E1750" s="379"/>
      <c r="F1750" s="379"/>
      <c r="G1750" s="380"/>
    </row>
    <row r="1751" spans="1:7" s="373" customFormat="1" ht="13.8" x14ac:dyDescent="0.3">
      <c r="A1751" s="378"/>
      <c r="B1751" s="378"/>
      <c r="C1751" s="379"/>
      <c r="D1751" s="379"/>
      <c r="E1751" s="379"/>
      <c r="F1751" s="379"/>
      <c r="G1751" s="380"/>
    </row>
    <row r="1752" spans="1:7" s="373" customFormat="1" ht="13.8" x14ac:dyDescent="0.3">
      <c r="A1752" s="378"/>
      <c r="B1752" s="378"/>
      <c r="C1752" s="379"/>
      <c r="D1752" s="379"/>
      <c r="E1752" s="379"/>
      <c r="F1752" s="379"/>
      <c r="G1752" s="380"/>
    </row>
    <row r="1753" spans="1:7" s="373" customFormat="1" ht="13.8" x14ac:dyDescent="0.3">
      <c r="A1753" s="378"/>
      <c r="B1753" s="378"/>
      <c r="C1753" s="379"/>
      <c r="D1753" s="379"/>
      <c r="E1753" s="379"/>
      <c r="F1753" s="379"/>
      <c r="G1753" s="380"/>
    </row>
    <row r="1754" spans="1:7" s="373" customFormat="1" ht="13.8" x14ac:dyDescent="0.3">
      <c r="A1754" s="378"/>
      <c r="B1754" s="378"/>
      <c r="C1754" s="379"/>
      <c r="D1754" s="379"/>
      <c r="E1754" s="379"/>
      <c r="F1754" s="379"/>
      <c r="G1754" s="380"/>
    </row>
    <row r="1755" spans="1:7" s="373" customFormat="1" ht="13.8" x14ac:dyDescent="0.3">
      <c r="A1755" s="378"/>
      <c r="B1755" s="378"/>
      <c r="C1755" s="379"/>
      <c r="D1755" s="379"/>
      <c r="E1755" s="379"/>
      <c r="F1755" s="379"/>
      <c r="G1755" s="380"/>
    </row>
    <row r="1756" spans="1:7" s="373" customFormat="1" ht="13.8" x14ac:dyDescent="0.3">
      <c r="A1756" s="378"/>
      <c r="B1756" s="378"/>
      <c r="C1756" s="379"/>
      <c r="D1756" s="379"/>
      <c r="E1756" s="379"/>
      <c r="F1756" s="379"/>
      <c r="G1756" s="380"/>
    </row>
    <row r="1757" spans="1:7" s="373" customFormat="1" ht="13.8" x14ac:dyDescent="0.3">
      <c r="A1757" s="378"/>
      <c r="B1757" s="378"/>
      <c r="C1757" s="379"/>
      <c r="D1757" s="379"/>
      <c r="E1757" s="379"/>
      <c r="F1757" s="379"/>
      <c r="G1757" s="380"/>
    </row>
    <row r="1758" spans="1:7" s="373" customFormat="1" ht="13.8" x14ac:dyDescent="0.3">
      <c r="A1758" s="378"/>
      <c r="B1758" s="378"/>
      <c r="C1758" s="379"/>
      <c r="D1758" s="379"/>
      <c r="E1758" s="379"/>
      <c r="F1758" s="379"/>
      <c r="G1758" s="380"/>
    </row>
    <row r="1759" spans="1:7" s="373" customFormat="1" ht="13.8" x14ac:dyDescent="0.3">
      <c r="A1759" s="378"/>
      <c r="B1759" s="378"/>
      <c r="C1759" s="379"/>
      <c r="D1759" s="379"/>
      <c r="E1759" s="379"/>
      <c r="F1759" s="379"/>
      <c r="G1759" s="380"/>
    </row>
    <row r="1760" spans="1:7" s="373" customFormat="1" ht="13.8" x14ac:dyDescent="0.3">
      <c r="A1760" s="378"/>
      <c r="B1760" s="378"/>
      <c r="C1760" s="379"/>
      <c r="D1760" s="379"/>
      <c r="E1760" s="379"/>
      <c r="F1760" s="379"/>
      <c r="G1760" s="380"/>
    </row>
    <row r="1761" spans="1:7" s="373" customFormat="1" ht="13.8" x14ac:dyDescent="0.3">
      <c r="A1761" s="378"/>
      <c r="B1761" s="378"/>
      <c r="C1761" s="379"/>
      <c r="D1761" s="379"/>
      <c r="E1761" s="379"/>
      <c r="F1761" s="379"/>
      <c r="G1761" s="380"/>
    </row>
    <row r="1762" spans="1:7" s="373" customFormat="1" ht="13.8" x14ac:dyDescent="0.3">
      <c r="A1762" s="378"/>
      <c r="B1762" s="378"/>
      <c r="C1762" s="379"/>
      <c r="D1762" s="379"/>
      <c r="E1762" s="379"/>
      <c r="F1762" s="379"/>
      <c r="G1762" s="380"/>
    </row>
    <row r="1763" spans="1:7" s="373" customFormat="1" ht="13.8" x14ac:dyDescent="0.3">
      <c r="A1763" s="378"/>
      <c r="B1763" s="378"/>
      <c r="C1763" s="379"/>
      <c r="D1763" s="379"/>
      <c r="E1763" s="379"/>
      <c r="F1763" s="379"/>
      <c r="G1763" s="380"/>
    </row>
    <row r="1764" spans="1:7" s="373" customFormat="1" ht="13.8" x14ac:dyDescent="0.3">
      <c r="A1764" s="378"/>
      <c r="B1764" s="378"/>
      <c r="C1764" s="379"/>
      <c r="D1764" s="379"/>
      <c r="E1764" s="379"/>
      <c r="F1764" s="379"/>
      <c r="G1764" s="380"/>
    </row>
    <row r="1765" spans="1:7" s="373" customFormat="1" ht="13.8" x14ac:dyDescent="0.3">
      <c r="A1765" s="378"/>
      <c r="B1765" s="378"/>
      <c r="C1765" s="379"/>
      <c r="D1765" s="379"/>
      <c r="E1765" s="379"/>
      <c r="F1765" s="379"/>
      <c r="G1765" s="380"/>
    </row>
    <row r="1766" spans="1:7" s="373" customFormat="1" ht="13.8" x14ac:dyDescent="0.3">
      <c r="A1766" s="378"/>
      <c r="B1766" s="378"/>
      <c r="C1766" s="379"/>
      <c r="D1766" s="379"/>
      <c r="E1766" s="379"/>
      <c r="F1766" s="379"/>
      <c r="G1766" s="380"/>
    </row>
    <row r="1767" spans="1:7" s="373" customFormat="1" ht="13.8" x14ac:dyDescent="0.3">
      <c r="A1767" s="378"/>
      <c r="B1767" s="378"/>
      <c r="C1767" s="379"/>
      <c r="D1767" s="379"/>
      <c r="E1767" s="379"/>
      <c r="F1767" s="379"/>
      <c r="G1767" s="380"/>
    </row>
    <row r="1768" spans="1:7" s="373" customFormat="1" ht="13.8" x14ac:dyDescent="0.3">
      <c r="A1768" s="378"/>
      <c r="B1768" s="378"/>
      <c r="C1768" s="379"/>
      <c r="D1768" s="379"/>
      <c r="E1768" s="379"/>
      <c r="F1768" s="379"/>
      <c r="G1768" s="380"/>
    </row>
    <row r="1769" spans="1:7" s="373" customFormat="1" ht="13.8" x14ac:dyDescent="0.3">
      <c r="A1769" s="378"/>
      <c r="B1769" s="378"/>
      <c r="C1769" s="379"/>
      <c r="D1769" s="379"/>
      <c r="E1769" s="379"/>
      <c r="F1769" s="379"/>
      <c r="G1769" s="380"/>
    </row>
    <row r="1770" spans="1:7" s="373" customFormat="1" ht="13.8" x14ac:dyDescent="0.3">
      <c r="A1770" s="378"/>
      <c r="B1770" s="378"/>
      <c r="C1770" s="379"/>
      <c r="D1770" s="379"/>
      <c r="E1770" s="379"/>
      <c r="F1770" s="379"/>
      <c r="G1770" s="380"/>
    </row>
    <row r="1771" spans="1:7" s="373" customFormat="1" ht="13.8" x14ac:dyDescent="0.3">
      <c r="A1771" s="378"/>
      <c r="B1771" s="378"/>
      <c r="C1771" s="379"/>
      <c r="D1771" s="379"/>
      <c r="E1771" s="379"/>
      <c r="F1771" s="379"/>
      <c r="G1771" s="380"/>
    </row>
    <row r="1772" spans="1:7" s="373" customFormat="1" ht="13.8" x14ac:dyDescent="0.3">
      <c r="A1772" s="378"/>
      <c r="B1772" s="378"/>
      <c r="C1772" s="379"/>
      <c r="D1772" s="379"/>
      <c r="E1772" s="379"/>
      <c r="F1772" s="379"/>
      <c r="G1772" s="380"/>
    </row>
    <row r="1773" spans="1:7" s="373" customFormat="1" ht="13.8" x14ac:dyDescent="0.3">
      <c r="A1773" s="378"/>
      <c r="B1773" s="378"/>
      <c r="C1773" s="379"/>
      <c r="D1773" s="379"/>
      <c r="E1773" s="379"/>
      <c r="F1773" s="379"/>
      <c r="G1773" s="380"/>
    </row>
    <row r="1774" spans="1:7" s="373" customFormat="1" ht="13.8" x14ac:dyDescent="0.3">
      <c r="A1774" s="378"/>
      <c r="B1774" s="378"/>
      <c r="C1774" s="379"/>
      <c r="D1774" s="379"/>
      <c r="E1774" s="379"/>
      <c r="F1774" s="379"/>
      <c r="G1774" s="380"/>
    </row>
    <row r="1775" spans="1:7" s="373" customFormat="1" ht="13.8" x14ac:dyDescent="0.3">
      <c r="A1775" s="378"/>
      <c r="B1775" s="378"/>
      <c r="C1775" s="379"/>
      <c r="D1775" s="379"/>
      <c r="E1775" s="379"/>
      <c r="F1775" s="379"/>
      <c r="G1775" s="380"/>
    </row>
    <row r="1776" spans="1:7" s="373" customFormat="1" ht="13.8" x14ac:dyDescent="0.3">
      <c r="A1776" s="378"/>
      <c r="B1776" s="378"/>
      <c r="C1776" s="379"/>
      <c r="D1776" s="379"/>
      <c r="E1776" s="379"/>
      <c r="F1776" s="379"/>
      <c r="G1776" s="380"/>
    </row>
    <row r="1777" spans="1:7" s="373" customFormat="1" ht="13.8" x14ac:dyDescent="0.3">
      <c r="A1777" s="378"/>
      <c r="B1777" s="378"/>
      <c r="C1777" s="379"/>
      <c r="D1777" s="379"/>
      <c r="E1777" s="379"/>
      <c r="F1777" s="379"/>
      <c r="G1777" s="380"/>
    </row>
    <row r="1778" spans="1:7" s="373" customFormat="1" ht="13.8" x14ac:dyDescent="0.3">
      <c r="A1778" s="378"/>
      <c r="B1778" s="378"/>
      <c r="C1778" s="379"/>
      <c r="D1778" s="379"/>
      <c r="E1778" s="379"/>
      <c r="F1778" s="379"/>
      <c r="G1778" s="380"/>
    </row>
    <row r="1779" spans="1:7" s="373" customFormat="1" ht="13.8" x14ac:dyDescent="0.3">
      <c r="A1779" s="378"/>
      <c r="B1779" s="378"/>
      <c r="C1779" s="379"/>
      <c r="D1779" s="379"/>
      <c r="E1779" s="379"/>
      <c r="F1779" s="379"/>
      <c r="G1779" s="380"/>
    </row>
    <row r="1780" spans="1:7" s="373" customFormat="1" ht="13.8" x14ac:dyDescent="0.3">
      <c r="A1780" s="378"/>
      <c r="B1780" s="378"/>
      <c r="C1780" s="379"/>
      <c r="D1780" s="379"/>
      <c r="E1780" s="379"/>
      <c r="F1780" s="379"/>
      <c r="G1780" s="380"/>
    </row>
    <row r="1781" spans="1:7" s="373" customFormat="1" ht="13.8" x14ac:dyDescent="0.3">
      <c r="A1781" s="378"/>
      <c r="B1781" s="378"/>
      <c r="C1781" s="379"/>
      <c r="D1781" s="379"/>
      <c r="E1781" s="379"/>
      <c r="F1781" s="379"/>
      <c r="G1781" s="380"/>
    </row>
    <row r="1782" spans="1:7" s="373" customFormat="1" ht="13.8" x14ac:dyDescent="0.3">
      <c r="A1782" s="378"/>
      <c r="B1782" s="378"/>
      <c r="C1782" s="379"/>
      <c r="D1782" s="379"/>
      <c r="E1782" s="379"/>
      <c r="F1782" s="379"/>
      <c r="G1782" s="380"/>
    </row>
    <row r="1783" spans="1:7" s="373" customFormat="1" ht="13.8" x14ac:dyDescent="0.3">
      <c r="A1783" s="378"/>
      <c r="B1783" s="378"/>
      <c r="C1783" s="379"/>
      <c r="D1783" s="379"/>
      <c r="E1783" s="379"/>
      <c r="F1783" s="379"/>
      <c r="G1783" s="380"/>
    </row>
    <row r="1784" spans="1:7" s="373" customFormat="1" ht="13.8" x14ac:dyDescent="0.3">
      <c r="A1784" s="378"/>
      <c r="B1784" s="378"/>
      <c r="C1784" s="379"/>
      <c r="D1784" s="379"/>
      <c r="E1784" s="379"/>
      <c r="F1784" s="379"/>
      <c r="G1784" s="380"/>
    </row>
    <row r="1785" spans="1:7" s="373" customFormat="1" ht="13.8" x14ac:dyDescent="0.3">
      <c r="A1785" s="378"/>
      <c r="B1785" s="378"/>
      <c r="C1785" s="379"/>
      <c r="D1785" s="379"/>
      <c r="E1785" s="379"/>
      <c r="F1785" s="379"/>
      <c r="G1785" s="380"/>
    </row>
    <row r="1786" spans="1:7" s="373" customFormat="1" ht="13.8" x14ac:dyDescent="0.3">
      <c r="A1786" s="378"/>
      <c r="B1786" s="378"/>
      <c r="C1786" s="379"/>
      <c r="D1786" s="379"/>
      <c r="E1786" s="379"/>
      <c r="F1786" s="379"/>
      <c r="G1786" s="380"/>
    </row>
    <row r="1787" spans="1:7" s="373" customFormat="1" ht="13.8" x14ac:dyDescent="0.3">
      <c r="A1787" s="378"/>
      <c r="B1787" s="378"/>
      <c r="C1787" s="379"/>
      <c r="D1787" s="379"/>
      <c r="E1787" s="379"/>
      <c r="F1787" s="379"/>
      <c r="G1787" s="380"/>
    </row>
    <row r="1788" spans="1:7" s="373" customFormat="1" ht="13.8" x14ac:dyDescent="0.3">
      <c r="A1788" s="378"/>
      <c r="B1788" s="378"/>
      <c r="C1788" s="379"/>
      <c r="D1788" s="379"/>
      <c r="E1788" s="379"/>
      <c r="F1788" s="379"/>
      <c r="G1788" s="380"/>
    </row>
    <row r="1789" spans="1:7" s="373" customFormat="1" ht="13.8" x14ac:dyDescent="0.3">
      <c r="A1789" s="378"/>
      <c r="B1789" s="378"/>
      <c r="C1789" s="379"/>
      <c r="D1789" s="379"/>
      <c r="E1789" s="379"/>
      <c r="F1789" s="379"/>
      <c r="G1789" s="380"/>
    </row>
    <row r="1790" spans="1:7" s="373" customFormat="1" ht="13.8" x14ac:dyDescent="0.3">
      <c r="A1790" s="378"/>
      <c r="B1790" s="378"/>
      <c r="C1790" s="379"/>
      <c r="D1790" s="379"/>
      <c r="E1790" s="379"/>
      <c r="F1790" s="379"/>
      <c r="G1790" s="380"/>
    </row>
    <row r="1791" spans="1:7" s="373" customFormat="1" ht="13.8" x14ac:dyDescent="0.3">
      <c r="A1791" s="378"/>
      <c r="B1791" s="378"/>
      <c r="C1791" s="379"/>
      <c r="D1791" s="379"/>
      <c r="E1791" s="379"/>
      <c r="F1791" s="379"/>
      <c r="G1791" s="380"/>
    </row>
    <row r="1792" spans="1:7" s="373" customFormat="1" ht="13.8" x14ac:dyDescent="0.3">
      <c r="A1792" s="378"/>
      <c r="B1792" s="378"/>
      <c r="C1792" s="379"/>
      <c r="D1792" s="379"/>
      <c r="E1792" s="379"/>
      <c r="F1792" s="379"/>
      <c r="G1792" s="380"/>
    </row>
    <row r="1793" spans="1:7" s="373" customFormat="1" ht="13.8" x14ac:dyDescent="0.3">
      <c r="A1793" s="378"/>
      <c r="B1793" s="378"/>
      <c r="C1793" s="379"/>
      <c r="D1793" s="379"/>
      <c r="E1793" s="379"/>
      <c r="F1793" s="379"/>
      <c r="G1793" s="380"/>
    </row>
    <row r="1794" spans="1:7" s="373" customFormat="1" ht="13.8" x14ac:dyDescent="0.3">
      <c r="A1794" s="378"/>
      <c r="B1794" s="378"/>
      <c r="C1794" s="379"/>
      <c r="D1794" s="379"/>
      <c r="E1794" s="379"/>
      <c r="F1794" s="379"/>
      <c r="G1794" s="380"/>
    </row>
    <row r="1795" spans="1:7" s="373" customFormat="1" ht="13.8" x14ac:dyDescent="0.3">
      <c r="A1795" s="378"/>
      <c r="B1795" s="378"/>
      <c r="C1795" s="379"/>
      <c r="D1795" s="379"/>
      <c r="E1795" s="379"/>
      <c r="F1795" s="379"/>
      <c r="G1795" s="380"/>
    </row>
    <row r="1796" spans="1:7" s="373" customFormat="1" ht="13.8" x14ac:dyDescent="0.3">
      <c r="A1796" s="378"/>
      <c r="B1796" s="378"/>
      <c r="C1796" s="379"/>
      <c r="D1796" s="379"/>
      <c r="E1796" s="379"/>
      <c r="F1796" s="379"/>
      <c r="G1796" s="380"/>
    </row>
    <row r="1797" spans="1:7" s="373" customFormat="1" ht="13.8" x14ac:dyDescent="0.3">
      <c r="A1797" s="378"/>
      <c r="B1797" s="378"/>
      <c r="C1797" s="379"/>
      <c r="D1797" s="379"/>
      <c r="E1797" s="379"/>
      <c r="F1797" s="379"/>
      <c r="G1797" s="380"/>
    </row>
    <row r="1798" spans="1:7" s="373" customFormat="1" ht="13.8" x14ac:dyDescent="0.3">
      <c r="A1798" s="378"/>
      <c r="B1798" s="378"/>
      <c r="C1798" s="379"/>
      <c r="D1798" s="379"/>
      <c r="E1798" s="379"/>
      <c r="F1798" s="379"/>
      <c r="G1798" s="380"/>
    </row>
    <row r="1799" spans="1:7" s="373" customFormat="1" ht="13.8" x14ac:dyDescent="0.3">
      <c r="A1799" s="378"/>
      <c r="B1799" s="378"/>
      <c r="C1799" s="379"/>
      <c r="D1799" s="379"/>
      <c r="E1799" s="379"/>
      <c r="F1799" s="379"/>
      <c r="G1799" s="380"/>
    </row>
    <row r="1800" spans="1:7" s="373" customFormat="1" ht="13.8" x14ac:dyDescent="0.3">
      <c r="A1800" s="378"/>
      <c r="B1800" s="378"/>
      <c r="C1800" s="379"/>
      <c r="D1800" s="379"/>
      <c r="E1800" s="379"/>
      <c r="F1800" s="379"/>
      <c r="G1800" s="380"/>
    </row>
    <row r="1801" spans="1:7" s="373" customFormat="1" ht="13.8" x14ac:dyDescent="0.3">
      <c r="A1801" s="378"/>
      <c r="B1801" s="378"/>
      <c r="C1801" s="379"/>
      <c r="D1801" s="379"/>
      <c r="E1801" s="379"/>
      <c r="F1801" s="379"/>
      <c r="G1801" s="380"/>
    </row>
    <row r="1802" spans="1:7" s="373" customFormat="1" ht="13.8" x14ac:dyDescent="0.3">
      <c r="A1802" s="378"/>
      <c r="B1802" s="378"/>
      <c r="C1802" s="379"/>
      <c r="D1802" s="379"/>
      <c r="E1802" s="379"/>
      <c r="F1802" s="379"/>
      <c r="G1802" s="380"/>
    </row>
    <row r="1803" spans="1:7" s="373" customFormat="1" ht="13.8" x14ac:dyDescent="0.3">
      <c r="A1803" s="378"/>
      <c r="B1803" s="378"/>
      <c r="C1803" s="379"/>
      <c r="D1803" s="379"/>
      <c r="E1803" s="379"/>
      <c r="F1803" s="379"/>
      <c r="G1803" s="380"/>
    </row>
    <row r="1804" spans="1:7" s="373" customFormat="1" ht="13.8" x14ac:dyDescent="0.3">
      <c r="A1804" s="378"/>
      <c r="B1804" s="378"/>
      <c r="C1804" s="379"/>
      <c r="D1804" s="379"/>
      <c r="E1804" s="379"/>
      <c r="F1804" s="379"/>
      <c r="G1804" s="380"/>
    </row>
    <row r="1805" spans="1:7" s="373" customFormat="1" ht="13.8" x14ac:dyDescent="0.3">
      <c r="A1805" s="378"/>
      <c r="B1805" s="378"/>
      <c r="C1805" s="379"/>
      <c r="D1805" s="379"/>
      <c r="E1805" s="379"/>
      <c r="F1805" s="379"/>
      <c r="G1805" s="380"/>
    </row>
    <row r="1806" spans="1:7" s="373" customFormat="1" ht="13.8" x14ac:dyDescent="0.3">
      <c r="A1806" s="378"/>
      <c r="B1806" s="378"/>
      <c r="C1806" s="379"/>
      <c r="D1806" s="379"/>
      <c r="E1806" s="379"/>
      <c r="F1806" s="379"/>
      <c r="G1806" s="380"/>
    </row>
    <row r="1807" spans="1:7" s="373" customFormat="1" ht="13.8" x14ac:dyDescent="0.3">
      <c r="A1807" s="378"/>
      <c r="B1807" s="378"/>
      <c r="C1807" s="379"/>
      <c r="D1807" s="379"/>
      <c r="E1807" s="379"/>
      <c r="F1807" s="379"/>
      <c r="G1807" s="380"/>
    </row>
    <row r="1808" spans="1:7" s="373" customFormat="1" ht="13.8" x14ac:dyDescent="0.3">
      <c r="A1808" s="378"/>
      <c r="B1808" s="378"/>
      <c r="C1808" s="379"/>
      <c r="D1808" s="379"/>
      <c r="E1808" s="379"/>
      <c r="F1808" s="379"/>
      <c r="G1808" s="380"/>
    </row>
    <row r="1809" spans="1:7" s="373" customFormat="1" ht="13.8" x14ac:dyDescent="0.3">
      <c r="A1809" s="378"/>
      <c r="B1809" s="378"/>
      <c r="C1809" s="379"/>
      <c r="D1809" s="379"/>
      <c r="E1809" s="379"/>
      <c r="F1809" s="379"/>
      <c r="G1809" s="380"/>
    </row>
    <row r="1810" spans="1:7" s="373" customFormat="1" ht="13.8" x14ac:dyDescent="0.3">
      <c r="A1810" s="378"/>
      <c r="B1810" s="378"/>
      <c r="C1810" s="379"/>
      <c r="D1810" s="379"/>
      <c r="E1810" s="379"/>
      <c r="F1810" s="379"/>
      <c r="G1810" s="380"/>
    </row>
    <row r="1811" spans="1:7" s="373" customFormat="1" ht="13.8" x14ac:dyDescent="0.3">
      <c r="A1811" s="378"/>
      <c r="B1811" s="378"/>
      <c r="C1811" s="379"/>
      <c r="D1811" s="379"/>
      <c r="E1811" s="379"/>
      <c r="F1811" s="379"/>
      <c r="G1811" s="380"/>
    </row>
    <row r="1812" spans="1:7" s="373" customFormat="1" ht="13.8" x14ac:dyDescent="0.3">
      <c r="A1812" s="378"/>
      <c r="B1812" s="378"/>
      <c r="C1812" s="379"/>
      <c r="D1812" s="379"/>
      <c r="E1812" s="379"/>
      <c r="F1812" s="379"/>
      <c r="G1812" s="380"/>
    </row>
    <row r="1813" spans="1:7" s="373" customFormat="1" ht="13.8" x14ac:dyDescent="0.3">
      <c r="A1813" s="378"/>
      <c r="B1813" s="378"/>
      <c r="C1813" s="379"/>
      <c r="D1813" s="379"/>
      <c r="E1813" s="379"/>
      <c r="F1813" s="379"/>
      <c r="G1813" s="380"/>
    </row>
    <row r="1814" spans="1:7" s="373" customFormat="1" ht="13.8" x14ac:dyDescent="0.3">
      <c r="A1814" s="378"/>
      <c r="B1814" s="378"/>
      <c r="C1814" s="379"/>
      <c r="D1814" s="379"/>
      <c r="E1814" s="379"/>
      <c r="F1814" s="379"/>
      <c r="G1814" s="380"/>
    </row>
    <row r="1815" spans="1:7" s="373" customFormat="1" ht="13.8" x14ac:dyDescent="0.3">
      <c r="A1815" s="378"/>
      <c r="B1815" s="378"/>
      <c r="C1815" s="379"/>
      <c r="D1815" s="379"/>
      <c r="E1815" s="379"/>
      <c r="F1815" s="379"/>
      <c r="G1815" s="380"/>
    </row>
    <row r="1816" spans="1:7" s="373" customFormat="1" ht="13.8" x14ac:dyDescent="0.3">
      <c r="A1816" s="378"/>
      <c r="B1816" s="378"/>
      <c r="C1816" s="379"/>
      <c r="D1816" s="379"/>
      <c r="E1816" s="379"/>
      <c r="F1816" s="379"/>
      <c r="G1816" s="380"/>
    </row>
    <row r="1817" spans="1:7" s="373" customFormat="1" ht="13.8" x14ac:dyDescent="0.3">
      <c r="A1817" s="378"/>
      <c r="B1817" s="378"/>
      <c r="C1817" s="379"/>
      <c r="D1817" s="379"/>
      <c r="E1817" s="379"/>
      <c r="F1817" s="379"/>
      <c r="G1817" s="380"/>
    </row>
    <row r="1818" spans="1:7" s="373" customFormat="1" ht="13.8" x14ac:dyDescent="0.3">
      <c r="A1818" s="378"/>
      <c r="B1818" s="378"/>
      <c r="C1818" s="379"/>
      <c r="D1818" s="379"/>
      <c r="E1818" s="379"/>
      <c r="F1818" s="379"/>
      <c r="G1818" s="380"/>
    </row>
    <row r="1819" spans="1:7" s="373" customFormat="1" ht="13.8" x14ac:dyDescent="0.3">
      <c r="A1819" s="378"/>
      <c r="B1819" s="378"/>
      <c r="C1819" s="379"/>
      <c r="D1819" s="379"/>
      <c r="E1819" s="379"/>
      <c r="F1819" s="379"/>
      <c r="G1819" s="380"/>
    </row>
    <row r="1820" spans="1:7" s="373" customFormat="1" ht="13.8" x14ac:dyDescent="0.3">
      <c r="A1820" s="378"/>
      <c r="B1820" s="378"/>
      <c r="C1820" s="379"/>
      <c r="D1820" s="379"/>
      <c r="E1820" s="379"/>
      <c r="F1820" s="379"/>
      <c r="G1820" s="380"/>
    </row>
    <row r="1821" spans="1:7" s="373" customFormat="1" ht="13.8" x14ac:dyDescent="0.3">
      <c r="A1821" s="378"/>
      <c r="B1821" s="378"/>
      <c r="C1821" s="379"/>
      <c r="D1821" s="379"/>
      <c r="E1821" s="379"/>
      <c r="F1821" s="379"/>
      <c r="G1821" s="380"/>
    </row>
    <row r="1822" spans="1:7" s="373" customFormat="1" ht="13.8" x14ac:dyDescent="0.3">
      <c r="A1822" s="378"/>
      <c r="B1822" s="378"/>
      <c r="C1822" s="379"/>
      <c r="D1822" s="379"/>
      <c r="E1822" s="379"/>
      <c r="F1822" s="379"/>
      <c r="G1822" s="380"/>
    </row>
    <row r="1823" spans="1:7" s="373" customFormat="1" ht="13.8" x14ac:dyDescent="0.3">
      <c r="A1823" s="378"/>
      <c r="B1823" s="378"/>
      <c r="C1823" s="379"/>
      <c r="D1823" s="379"/>
      <c r="E1823" s="379"/>
      <c r="F1823" s="379"/>
      <c r="G1823" s="380"/>
    </row>
    <row r="1824" spans="1:7" s="373" customFormat="1" ht="13.8" x14ac:dyDescent="0.3">
      <c r="A1824" s="378"/>
      <c r="B1824" s="378"/>
      <c r="C1824" s="379"/>
      <c r="D1824" s="379"/>
      <c r="E1824" s="379"/>
      <c r="F1824" s="379"/>
      <c r="G1824" s="380"/>
    </row>
    <row r="1825" spans="1:7" s="373" customFormat="1" ht="13.8" x14ac:dyDescent="0.3">
      <c r="A1825" s="378"/>
      <c r="B1825" s="378"/>
      <c r="C1825" s="379"/>
      <c r="D1825" s="379"/>
      <c r="E1825" s="379"/>
      <c r="F1825" s="379"/>
      <c r="G1825" s="380"/>
    </row>
    <row r="1826" spans="1:7" s="373" customFormat="1" ht="13.8" x14ac:dyDescent="0.3">
      <c r="A1826" s="378"/>
      <c r="B1826" s="378"/>
      <c r="C1826" s="379"/>
      <c r="D1826" s="379"/>
      <c r="E1826" s="379"/>
      <c r="F1826" s="379"/>
      <c r="G1826" s="380"/>
    </row>
    <row r="1827" spans="1:7" s="373" customFormat="1" ht="13.8" x14ac:dyDescent="0.3">
      <c r="A1827" s="378"/>
      <c r="B1827" s="378"/>
      <c r="C1827" s="379"/>
      <c r="D1827" s="379"/>
      <c r="E1827" s="379"/>
      <c r="F1827" s="379"/>
      <c r="G1827" s="380"/>
    </row>
    <row r="1828" spans="1:7" s="373" customFormat="1" ht="13.8" x14ac:dyDescent="0.3">
      <c r="A1828" s="378"/>
      <c r="B1828" s="378"/>
      <c r="C1828" s="379"/>
      <c r="D1828" s="379"/>
      <c r="E1828" s="379"/>
      <c r="F1828" s="379"/>
      <c r="G1828" s="380"/>
    </row>
    <row r="1829" spans="1:7" s="373" customFormat="1" ht="13.8" x14ac:dyDescent="0.3">
      <c r="A1829" s="378"/>
      <c r="B1829" s="378"/>
      <c r="C1829" s="379"/>
      <c r="D1829" s="379"/>
      <c r="E1829" s="379"/>
      <c r="F1829" s="379"/>
      <c r="G1829" s="380"/>
    </row>
    <row r="1830" spans="1:7" s="373" customFormat="1" ht="13.8" x14ac:dyDescent="0.3">
      <c r="A1830" s="378"/>
      <c r="B1830" s="378"/>
      <c r="C1830" s="379"/>
      <c r="D1830" s="379"/>
      <c r="E1830" s="379"/>
      <c r="F1830" s="379"/>
      <c r="G1830" s="380"/>
    </row>
    <row r="1831" spans="1:7" s="373" customFormat="1" ht="13.8" x14ac:dyDescent="0.3">
      <c r="A1831" s="378"/>
      <c r="B1831" s="378"/>
      <c r="C1831" s="379"/>
      <c r="D1831" s="379"/>
      <c r="E1831" s="379"/>
      <c r="F1831" s="379"/>
      <c r="G1831" s="380"/>
    </row>
    <row r="1832" spans="1:7" s="373" customFormat="1" ht="13.8" x14ac:dyDescent="0.3">
      <c r="A1832" s="378"/>
      <c r="B1832" s="378"/>
      <c r="C1832" s="379"/>
      <c r="D1832" s="379"/>
      <c r="E1832" s="379"/>
      <c r="F1832" s="379"/>
      <c r="G1832" s="380"/>
    </row>
    <row r="1833" spans="1:7" s="373" customFormat="1" ht="13.8" x14ac:dyDescent="0.3">
      <c r="A1833" s="378"/>
      <c r="B1833" s="378"/>
      <c r="C1833" s="379"/>
      <c r="D1833" s="379"/>
      <c r="E1833" s="379"/>
      <c r="F1833" s="379"/>
      <c r="G1833" s="380"/>
    </row>
    <row r="1834" spans="1:7" s="373" customFormat="1" ht="13.8" x14ac:dyDescent="0.3">
      <c r="A1834" s="378"/>
      <c r="B1834" s="378"/>
      <c r="C1834" s="379"/>
      <c r="D1834" s="379"/>
      <c r="E1834" s="379"/>
      <c r="F1834" s="379"/>
      <c r="G1834" s="380"/>
    </row>
    <row r="1835" spans="1:7" s="373" customFormat="1" ht="13.8" x14ac:dyDescent="0.3">
      <c r="A1835" s="378"/>
      <c r="B1835" s="378"/>
      <c r="C1835" s="379"/>
      <c r="D1835" s="379"/>
      <c r="E1835" s="379"/>
      <c r="F1835" s="379"/>
      <c r="G1835" s="380"/>
    </row>
    <row r="1836" spans="1:7" s="373" customFormat="1" ht="13.8" x14ac:dyDescent="0.3">
      <c r="A1836" s="378"/>
      <c r="B1836" s="378"/>
      <c r="C1836" s="379"/>
      <c r="D1836" s="379"/>
      <c r="E1836" s="379"/>
      <c r="F1836" s="379"/>
      <c r="G1836" s="380"/>
    </row>
    <row r="1837" spans="1:7" s="373" customFormat="1" ht="13.8" x14ac:dyDescent="0.3">
      <c r="A1837" s="378"/>
      <c r="B1837" s="378"/>
      <c r="C1837" s="379"/>
      <c r="D1837" s="379"/>
      <c r="E1837" s="379"/>
      <c r="F1837" s="379"/>
      <c r="G1837" s="380"/>
    </row>
    <row r="1838" spans="1:7" s="373" customFormat="1" ht="13.8" x14ac:dyDescent="0.3">
      <c r="A1838" s="378"/>
      <c r="B1838" s="378"/>
      <c r="C1838" s="379"/>
      <c r="D1838" s="379"/>
      <c r="E1838" s="379"/>
      <c r="F1838" s="379"/>
      <c r="G1838" s="380"/>
    </row>
    <row r="1839" spans="1:7" s="373" customFormat="1" ht="13.8" x14ac:dyDescent="0.3">
      <c r="A1839" s="378"/>
      <c r="B1839" s="378"/>
      <c r="C1839" s="379"/>
      <c r="D1839" s="379"/>
      <c r="E1839" s="379"/>
      <c r="F1839" s="379"/>
      <c r="G1839" s="380"/>
    </row>
    <row r="1840" spans="1:7" s="373" customFormat="1" ht="13.8" x14ac:dyDescent="0.3">
      <c r="A1840" s="378"/>
      <c r="B1840" s="378"/>
      <c r="C1840" s="379"/>
      <c r="D1840" s="379"/>
      <c r="E1840" s="379"/>
      <c r="F1840" s="379"/>
      <c r="G1840" s="380"/>
    </row>
    <row r="1841" spans="1:7" s="373" customFormat="1" ht="13.8" x14ac:dyDescent="0.3">
      <c r="A1841" s="378"/>
      <c r="B1841" s="378"/>
      <c r="C1841" s="379"/>
      <c r="D1841" s="379"/>
      <c r="E1841" s="379"/>
      <c r="F1841" s="379"/>
      <c r="G1841" s="380"/>
    </row>
    <row r="1842" spans="1:7" s="373" customFormat="1" ht="13.8" x14ac:dyDescent="0.3">
      <c r="A1842" s="378"/>
      <c r="B1842" s="378"/>
      <c r="C1842" s="379"/>
      <c r="D1842" s="379"/>
      <c r="E1842" s="379"/>
      <c r="F1842" s="379"/>
      <c r="G1842" s="380"/>
    </row>
    <row r="1843" spans="1:7" s="373" customFormat="1" ht="13.8" x14ac:dyDescent="0.3">
      <c r="A1843" s="378"/>
      <c r="B1843" s="378"/>
      <c r="C1843" s="379"/>
      <c r="D1843" s="379"/>
      <c r="E1843" s="379"/>
      <c r="F1843" s="379"/>
      <c r="G1843" s="380"/>
    </row>
    <row r="1844" spans="1:7" s="373" customFormat="1" ht="13.8" x14ac:dyDescent="0.3">
      <c r="A1844" s="378"/>
      <c r="B1844" s="378"/>
      <c r="C1844" s="379"/>
      <c r="D1844" s="379"/>
      <c r="E1844" s="379"/>
      <c r="F1844" s="379"/>
      <c r="G1844" s="380"/>
    </row>
    <row r="1845" spans="1:7" s="373" customFormat="1" ht="13.8" x14ac:dyDescent="0.3">
      <c r="A1845" s="378"/>
      <c r="B1845" s="378"/>
      <c r="C1845" s="379"/>
      <c r="D1845" s="379"/>
      <c r="E1845" s="379"/>
      <c r="F1845" s="379"/>
      <c r="G1845" s="380"/>
    </row>
    <row r="1846" spans="1:7" s="373" customFormat="1" ht="13.8" x14ac:dyDescent="0.3">
      <c r="A1846" s="378"/>
      <c r="B1846" s="378"/>
      <c r="C1846" s="379"/>
      <c r="D1846" s="379"/>
      <c r="E1846" s="379"/>
      <c r="F1846" s="379"/>
      <c r="G1846" s="380"/>
    </row>
    <row r="1847" spans="1:7" s="373" customFormat="1" ht="13.8" x14ac:dyDescent="0.3">
      <c r="A1847" s="378"/>
      <c r="B1847" s="378"/>
      <c r="C1847" s="379"/>
      <c r="D1847" s="379"/>
      <c r="E1847" s="379"/>
      <c r="F1847" s="379"/>
      <c r="G1847" s="380"/>
    </row>
    <row r="1848" spans="1:7" s="373" customFormat="1" ht="13.8" x14ac:dyDescent="0.3">
      <c r="A1848" s="378"/>
      <c r="B1848" s="378"/>
      <c r="C1848" s="379"/>
      <c r="D1848" s="379"/>
      <c r="E1848" s="379"/>
      <c r="F1848" s="379"/>
      <c r="G1848" s="380"/>
    </row>
    <row r="1849" spans="1:7" s="373" customFormat="1" ht="13.8" x14ac:dyDescent="0.3">
      <c r="A1849" s="378"/>
      <c r="B1849" s="378"/>
      <c r="C1849" s="379"/>
      <c r="D1849" s="379"/>
      <c r="E1849" s="379"/>
      <c r="F1849" s="379"/>
      <c r="G1849" s="380"/>
    </row>
    <row r="1850" spans="1:7" s="373" customFormat="1" ht="13.8" x14ac:dyDescent="0.3">
      <c r="A1850" s="378"/>
      <c r="B1850" s="378"/>
      <c r="C1850" s="379"/>
      <c r="D1850" s="379"/>
      <c r="E1850" s="379"/>
      <c r="F1850" s="379"/>
      <c r="G1850" s="380"/>
    </row>
    <row r="1851" spans="1:7" s="373" customFormat="1" ht="13.8" x14ac:dyDescent="0.3">
      <c r="A1851" s="378"/>
      <c r="B1851" s="378"/>
      <c r="C1851" s="379"/>
      <c r="D1851" s="379"/>
      <c r="E1851" s="379"/>
      <c r="F1851" s="379"/>
      <c r="G1851" s="380"/>
    </row>
    <row r="1852" spans="1:7" s="373" customFormat="1" ht="13.8" x14ac:dyDescent="0.3">
      <c r="A1852" s="378"/>
      <c r="B1852" s="378"/>
      <c r="C1852" s="379"/>
      <c r="D1852" s="379"/>
      <c r="E1852" s="379"/>
      <c r="F1852" s="379"/>
      <c r="G1852" s="380"/>
    </row>
    <row r="1853" spans="1:7" s="373" customFormat="1" ht="13.8" x14ac:dyDescent="0.3">
      <c r="A1853" s="378"/>
      <c r="B1853" s="378"/>
      <c r="C1853" s="379"/>
      <c r="D1853" s="379"/>
      <c r="E1853" s="379"/>
      <c r="F1853" s="379"/>
      <c r="G1853" s="380"/>
    </row>
    <row r="1854" spans="1:7" s="373" customFormat="1" ht="13.8" x14ac:dyDescent="0.3">
      <c r="A1854" s="378"/>
      <c r="B1854" s="378"/>
      <c r="C1854" s="379"/>
      <c r="D1854" s="379"/>
      <c r="E1854" s="379"/>
      <c r="F1854" s="379"/>
      <c r="G1854" s="380"/>
    </row>
    <row r="1855" spans="1:7" s="373" customFormat="1" ht="13.8" x14ac:dyDescent="0.3">
      <c r="A1855" s="378"/>
      <c r="B1855" s="378"/>
      <c r="C1855" s="379"/>
      <c r="D1855" s="379"/>
      <c r="E1855" s="379"/>
      <c r="F1855" s="379"/>
      <c r="G1855" s="380"/>
    </row>
    <row r="1856" spans="1:7" s="373" customFormat="1" ht="13.8" x14ac:dyDescent="0.3">
      <c r="A1856" s="378"/>
      <c r="B1856" s="378"/>
      <c r="C1856" s="379"/>
      <c r="D1856" s="379"/>
      <c r="E1856" s="379"/>
      <c r="F1856" s="379"/>
      <c r="G1856" s="380"/>
    </row>
    <row r="1857" spans="1:7" s="373" customFormat="1" ht="13.8" x14ac:dyDescent="0.3">
      <c r="A1857" s="378"/>
      <c r="B1857" s="378"/>
      <c r="C1857" s="379"/>
      <c r="D1857" s="379"/>
      <c r="E1857" s="379"/>
      <c r="F1857" s="379"/>
      <c r="G1857" s="380"/>
    </row>
    <row r="1858" spans="1:7" s="373" customFormat="1" ht="13.8" x14ac:dyDescent="0.3">
      <c r="A1858" s="378"/>
      <c r="B1858" s="378"/>
      <c r="C1858" s="379"/>
      <c r="D1858" s="379"/>
      <c r="E1858" s="379"/>
      <c r="F1858" s="379"/>
      <c r="G1858" s="380"/>
    </row>
    <row r="1859" spans="1:7" s="373" customFormat="1" ht="13.8" x14ac:dyDescent="0.3">
      <c r="A1859" s="378"/>
      <c r="B1859" s="378"/>
      <c r="C1859" s="379"/>
      <c r="D1859" s="379"/>
      <c r="E1859" s="379"/>
      <c r="F1859" s="379"/>
      <c r="G1859" s="380"/>
    </row>
    <row r="1860" spans="1:7" s="373" customFormat="1" ht="13.8" x14ac:dyDescent="0.3">
      <c r="A1860" s="378"/>
      <c r="B1860" s="378"/>
      <c r="C1860" s="379"/>
      <c r="D1860" s="379"/>
      <c r="E1860" s="379"/>
      <c r="F1860" s="379"/>
      <c r="G1860" s="380"/>
    </row>
    <row r="1861" spans="1:7" s="373" customFormat="1" ht="13.8" x14ac:dyDescent="0.3">
      <c r="A1861" s="378"/>
      <c r="B1861" s="378"/>
      <c r="C1861" s="379"/>
      <c r="D1861" s="379"/>
      <c r="E1861" s="379"/>
      <c r="F1861" s="379"/>
      <c r="G1861" s="380"/>
    </row>
    <row r="1862" spans="1:7" s="373" customFormat="1" ht="13.8" x14ac:dyDescent="0.3">
      <c r="A1862" s="378"/>
      <c r="B1862" s="378"/>
      <c r="C1862" s="379"/>
      <c r="D1862" s="379"/>
      <c r="E1862" s="379"/>
      <c r="F1862" s="379"/>
      <c r="G1862" s="380"/>
    </row>
    <row r="1863" spans="1:7" s="373" customFormat="1" ht="13.8" x14ac:dyDescent="0.3">
      <c r="A1863" s="378"/>
      <c r="B1863" s="378"/>
      <c r="C1863" s="379"/>
      <c r="D1863" s="379"/>
      <c r="E1863" s="379"/>
      <c r="F1863" s="379"/>
      <c r="G1863" s="380"/>
    </row>
    <row r="1864" spans="1:7" s="373" customFormat="1" ht="13.8" x14ac:dyDescent="0.3">
      <c r="A1864" s="378"/>
      <c r="B1864" s="378"/>
      <c r="C1864" s="379"/>
      <c r="D1864" s="379"/>
      <c r="E1864" s="379"/>
      <c r="F1864" s="379"/>
      <c r="G1864" s="380"/>
    </row>
    <row r="1865" spans="1:7" s="373" customFormat="1" ht="13.8" x14ac:dyDescent="0.3">
      <c r="A1865" s="378"/>
      <c r="B1865" s="378"/>
      <c r="C1865" s="379"/>
      <c r="D1865" s="379"/>
      <c r="E1865" s="379"/>
      <c r="F1865" s="379"/>
      <c r="G1865" s="380"/>
    </row>
    <row r="1866" spans="1:7" s="373" customFormat="1" ht="13.8" x14ac:dyDescent="0.3">
      <c r="A1866" s="378"/>
      <c r="B1866" s="378"/>
      <c r="C1866" s="379"/>
      <c r="D1866" s="379"/>
      <c r="E1866" s="379"/>
      <c r="F1866" s="379"/>
      <c r="G1866" s="380"/>
    </row>
    <row r="1867" spans="1:7" s="373" customFormat="1" ht="13.8" x14ac:dyDescent="0.3">
      <c r="A1867" s="378"/>
      <c r="B1867" s="378"/>
      <c r="C1867" s="379"/>
      <c r="D1867" s="379"/>
      <c r="E1867" s="379"/>
      <c r="F1867" s="379"/>
      <c r="G1867" s="380"/>
    </row>
    <row r="1868" spans="1:7" s="373" customFormat="1" ht="13.8" x14ac:dyDescent="0.3">
      <c r="A1868" s="378"/>
      <c r="B1868" s="378"/>
      <c r="C1868" s="379"/>
      <c r="D1868" s="379"/>
      <c r="E1868" s="379"/>
      <c r="F1868" s="379"/>
      <c r="G1868" s="380"/>
    </row>
    <row r="1869" spans="1:7" s="373" customFormat="1" ht="13.8" x14ac:dyDescent="0.3">
      <c r="A1869" s="378"/>
      <c r="B1869" s="378"/>
      <c r="C1869" s="379"/>
      <c r="D1869" s="379"/>
      <c r="E1869" s="379"/>
      <c r="F1869" s="379"/>
      <c r="G1869" s="380"/>
    </row>
    <row r="1870" spans="1:7" s="373" customFormat="1" ht="13.8" x14ac:dyDescent="0.3">
      <c r="A1870" s="378"/>
      <c r="B1870" s="378"/>
      <c r="C1870" s="379"/>
      <c r="D1870" s="379"/>
      <c r="E1870" s="379"/>
      <c r="F1870" s="379"/>
      <c r="G1870" s="380"/>
    </row>
    <row r="1871" spans="1:7" s="373" customFormat="1" ht="13.8" x14ac:dyDescent="0.3">
      <c r="A1871" s="378"/>
      <c r="B1871" s="378"/>
      <c r="C1871" s="379"/>
      <c r="D1871" s="379"/>
      <c r="E1871" s="379"/>
      <c r="F1871" s="379"/>
      <c r="G1871" s="380"/>
    </row>
    <row r="1872" spans="1:7" s="373" customFormat="1" ht="13.8" x14ac:dyDescent="0.3">
      <c r="A1872" s="378"/>
      <c r="B1872" s="378"/>
      <c r="C1872" s="379"/>
      <c r="D1872" s="379"/>
      <c r="E1872" s="379"/>
      <c r="F1872" s="379"/>
      <c r="G1872" s="380"/>
    </row>
    <row r="1873" spans="1:7" s="373" customFormat="1" ht="13.8" x14ac:dyDescent="0.3">
      <c r="A1873" s="378"/>
      <c r="B1873" s="378"/>
      <c r="C1873" s="379"/>
      <c r="D1873" s="379"/>
      <c r="E1873" s="379"/>
      <c r="F1873" s="379"/>
      <c r="G1873" s="380"/>
    </row>
    <row r="1874" spans="1:7" s="373" customFormat="1" ht="13.8" x14ac:dyDescent="0.3">
      <c r="A1874" s="378"/>
      <c r="B1874" s="378"/>
      <c r="C1874" s="379"/>
      <c r="D1874" s="379"/>
      <c r="E1874" s="379"/>
      <c r="F1874" s="379"/>
      <c r="G1874" s="380"/>
    </row>
    <row r="1875" spans="1:7" s="373" customFormat="1" ht="13.8" x14ac:dyDescent="0.3">
      <c r="A1875" s="378"/>
      <c r="B1875" s="378"/>
      <c r="C1875" s="379"/>
      <c r="D1875" s="379"/>
      <c r="E1875" s="379"/>
      <c r="F1875" s="379"/>
      <c r="G1875" s="380"/>
    </row>
    <row r="1876" spans="1:7" s="373" customFormat="1" ht="13.8" x14ac:dyDescent="0.3">
      <c r="A1876" s="378"/>
      <c r="B1876" s="378"/>
      <c r="C1876" s="379"/>
      <c r="D1876" s="379"/>
      <c r="E1876" s="379"/>
      <c r="F1876" s="379"/>
      <c r="G1876" s="380"/>
    </row>
    <row r="1877" spans="1:7" s="373" customFormat="1" ht="13.8" x14ac:dyDescent="0.3">
      <c r="A1877" s="378"/>
      <c r="B1877" s="378"/>
      <c r="C1877" s="379"/>
      <c r="D1877" s="379"/>
      <c r="E1877" s="379"/>
      <c r="F1877" s="379"/>
      <c r="G1877" s="380"/>
    </row>
    <row r="1878" spans="1:7" s="373" customFormat="1" ht="13.8" x14ac:dyDescent="0.3">
      <c r="A1878" s="378"/>
      <c r="B1878" s="378"/>
      <c r="C1878" s="379"/>
      <c r="D1878" s="379"/>
      <c r="E1878" s="379"/>
      <c r="F1878" s="379"/>
      <c r="G1878" s="380"/>
    </row>
    <row r="1879" spans="1:7" s="373" customFormat="1" ht="13.8" x14ac:dyDescent="0.3">
      <c r="A1879" s="378"/>
      <c r="B1879" s="378"/>
      <c r="C1879" s="379"/>
      <c r="D1879" s="379"/>
      <c r="E1879" s="379"/>
      <c r="F1879" s="379"/>
      <c r="G1879" s="380"/>
    </row>
    <row r="1880" spans="1:7" s="373" customFormat="1" ht="13.8" x14ac:dyDescent="0.3">
      <c r="A1880" s="378"/>
      <c r="B1880" s="378"/>
      <c r="C1880" s="379"/>
      <c r="D1880" s="379"/>
      <c r="E1880" s="379"/>
      <c r="F1880" s="379"/>
      <c r="G1880" s="380"/>
    </row>
    <row r="1881" spans="1:7" s="373" customFormat="1" ht="13.8" x14ac:dyDescent="0.3">
      <c r="A1881" s="378"/>
      <c r="B1881" s="378"/>
      <c r="C1881" s="379"/>
      <c r="D1881" s="379"/>
      <c r="E1881" s="379"/>
      <c r="F1881" s="379"/>
      <c r="G1881" s="380"/>
    </row>
    <row r="1882" spans="1:7" s="373" customFormat="1" ht="13.8" x14ac:dyDescent="0.3">
      <c r="A1882" s="378"/>
      <c r="B1882" s="378"/>
      <c r="C1882" s="379"/>
      <c r="D1882" s="379"/>
      <c r="E1882" s="379"/>
      <c r="F1882" s="379"/>
      <c r="G1882" s="380"/>
    </row>
    <row r="1883" spans="1:7" s="373" customFormat="1" ht="13.8" x14ac:dyDescent="0.3">
      <c r="A1883" s="378"/>
      <c r="B1883" s="378"/>
      <c r="C1883" s="379"/>
      <c r="D1883" s="379"/>
      <c r="E1883" s="379"/>
      <c r="F1883" s="379"/>
      <c r="G1883" s="380"/>
    </row>
    <row r="1884" spans="1:7" s="373" customFormat="1" ht="13.8" x14ac:dyDescent="0.3">
      <c r="A1884" s="378"/>
      <c r="B1884" s="378"/>
      <c r="C1884" s="379"/>
      <c r="D1884" s="379"/>
      <c r="E1884" s="379"/>
      <c r="F1884" s="379"/>
      <c r="G1884" s="380"/>
    </row>
    <row r="1885" spans="1:7" s="373" customFormat="1" ht="13.8" x14ac:dyDescent="0.3">
      <c r="A1885" s="378"/>
      <c r="B1885" s="378"/>
      <c r="C1885" s="379"/>
      <c r="D1885" s="379"/>
      <c r="E1885" s="379"/>
      <c r="F1885" s="379"/>
      <c r="G1885" s="380"/>
    </row>
    <row r="1886" spans="1:7" s="373" customFormat="1" ht="13.8" x14ac:dyDescent="0.3">
      <c r="A1886" s="378"/>
      <c r="B1886" s="378"/>
      <c r="C1886" s="379"/>
      <c r="D1886" s="379"/>
      <c r="E1886" s="379"/>
      <c r="F1886" s="379"/>
      <c r="G1886" s="380"/>
    </row>
    <row r="1887" spans="1:7" s="373" customFormat="1" ht="13.8" x14ac:dyDescent="0.3">
      <c r="A1887" s="378"/>
      <c r="B1887" s="378"/>
      <c r="C1887" s="379"/>
      <c r="D1887" s="379"/>
      <c r="E1887" s="379"/>
      <c r="F1887" s="379"/>
      <c r="G1887" s="380"/>
    </row>
    <row r="1888" spans="1:7" s="373" customFormat="1" ht="13.8" x14ac:dyDescent="0.3">
      <c r="A1888" s="378"/>
      <c r="B1888" s="378"/>
      <c r="C1888" s="379"/>
      <c r="D1888" s="379"/>
      <c r="E1888" s="379"/>
      <c r="F1888" s="379"/>
      <c r="G1888" s="380"/>
    </row>
    <row r="1889" spans="1:7" s="373" customFormat="1" ht="13.8" x14ac:dyDescent="0.3">
      <c r="A1889" s="378"/>
      <c r="B1889" s="378"/>
      <c r="C1889" s="379"/>
      <c r="D1889" s="379"/>
      <c r="E1889" s="379"/>
      <c r="F1889" s="379"/>
      <c r="G1889" s="380"/>
    </row>
    <row r="1890" spans="1:7" s="373" customFormat="1" ht="13.8" x14ac:dyDescent="0.3">
      <c r="A1890" s="378"/>
      <c r="B1890" s="378"/>
      <c r="C1890" s="379"/>
      <c r="D1890" s="379"/>
      <c r="E1890" s="379"/>
      <c r="F1890" s="379"/>
      <c r="G1890" s="380"/>
    </row>
    <row r="1891" spans="1:7" s="373" customFormat="1" ht="13.8" x14ac:dyDescent="0.3">
      <c r="A1891" s="378"/>
      <c r="B1891" s="378"/>
      <c r="C1891" s="379"/>
      <c r="D1891" s="379"/>
      <c r="E1891" s="379"/>
      <c r="F1891" s="379"/>
      <c r="G1891" s="380"/>
    </row>
    <row r="1892" spans="1:7" s="373" customFormat="1" ht="13.8" x14ac:dyDescent="0.3">
      <c r="A1892" s="378"/>
      <c r="B1892" s="378"/>
      <c r="C1892" s="379"/>
      <c r="D1892" s="379"/>
      <c r="E1892" s="379"/>
      <c r="F1892" s="379"/>
      <c r="G1892" s="380"/>
    </row>
    <row r="1893" spans="1:7" s="373" customFormat="1" ht="13.8" x14ac:dyDescent="0.3">
      <c r="A1893" s="378"/>
      <c r="B1893" s="378"/>
      <c r="C1893" s="379"/>
      <c r="D1893" s="379"/>
      <c r="E1893" s="379"/>
      <c r="F1893" s="379"/>
      <c r="G1893" s="380"/>
    </row>
    <row r="1894" spans="1:7" s="373" customFormat="1" ht="13.8" x14ac:dyDescent="0.3">
      <c r="A1894" s="378"/>
      <c r="B1894" s="378"/>
      <c r="C1894" s="379"/>
      <c r="D1894" s="379"/>
      <c r="E1894" s="379"/>
      <c r="F1894" s="379"/>
      <c r="G1894" s="380"/>
    </row>
    <row r="1895" spans="1:7" s="373" customFormat="1" ht="13.8" x14ac:dyDescent="0.3">
      <c r="A1895" s="378"/>
      <c r="B1895" s="378"/>
      <c r="C1895" s="379"/>
      <c r="D1895" s="379"/>
      <c r="E1895" s="379"/>
      <c r="F1895" s="379"/>
      <c r="G1895" s="380"/>
    </row>
    <row r="1896" spans="1:7" s="373" customFormat="1" ht="13.8" x14ac:dyDescent="0.3">
      <c r="A1896" s="378"/>
      <c r="B1896" s="378"/>
      <c r="C1896" s="379"/>
      <c r="D1896" s="379"/>
      <c r="E1896" s="379"/>
      <c r="F1896" s="379"/>
      <c r="G1896" s="380"/>
    </row>
    <row r="1897" spans="1:7" s="373" customFormat="1" ht="13.8" x14ac:dyDescent="0.3">
      <c r="A1897" s="378"/>
      <c r="B1897" s="378"/>
      <c r="C1897" s="379"/>
      <c r="D1897" s="379"/>
      <c r="E1897" s="379"/>
      <c r="F1897" s="379"/>
      <c r="G1897" s="380"/>
    </row>
    <row r="1898" spans="1:7" s="373" customFormat="1" ht="13.8" x14ac:dyDescent="0.3">
      <c r="A1898" s="378"/>
      <c r="B1898" s="378"/>
      <c r="C1898" s="379"/>
      <c r="D1898" s="379"/>
      <c r="E1898" s="379"/>
      <c r="F1898" s="379"/>
      <c r="G1898" s="380"/>
    </row>
    <row r="1899" spans="1:7" s="373" customFormat="1" ht="13.8" x14ac:dyDescent="0.3">
      <c r="A1899" s="378"/>
      <c r="B1899" s="378"/>
      <c r="C1899" s="379"/>
      <c r="D1899" s="379"/>
      <c r="E1899" s="379"/>
      <c r="F1899" s="379"/>
      <c r="G1899" s="380"/>
    </row>
    <row r="1900" spans="1:7" s="373" customFormat="1" ht="13.8" x14ac:dyDescent="0.3">
      <c r="A1900" s="378"/>
      <c r="B1900" s="378"/>
      <c r="C1900" s="379"/>
      <c r="D1900" s="379"/>
      <c r="E1900" s="379"/>
      <c r="F1900" s="379"/>
      <c r="G1900" s="380"/>
    </row>
    <row r="1901" spans="1:7" s="373" customFormat="1" ht="13.8" x14ac:dyDescent="0.3">
      <c r="A1901" s="378"/>
      <c r="B1901" s="378"/>
      <c r="C1901" s="379"/>
      <c r="D1901" s="379"/>
      <c r="E1901" s="379"/>
      <c r="F1901" s="379"/>
      <c r="G1901" s="380"/>
    </row>
    <row r="1902" spans="1:7" s="373" customFormat="1" ht="13.8" x14ac:dyDescent="0.3">
      <c r="A1902" s="378"/>
      <c r="B1902" s="378"/>
      <c r="C1902" s="379"/>
      <c r="D1902" s="379"/>
      <c r="E1902" s="379"/>
      <c r="F1902" s="379"/>
      <c r="G1902" s="380"/>
    </row>
    <row r="1903" spans="1:7" s="373" customFormat="1" ht="13.8" x14ac:dyDescent="0.3">
      <c r="A1903" s="378"/>
      <c r="B1903" s="378"/>
      <c r="C1903" s="379"/>
      <c r="D1903" s="379"/>
      <c r="E1903" s="379"/>
      <c r="F1903" s="379"/>
      <c r="G1903" s="380"/>
    </row>
    <row r="1904" spans="1:7" s="373" customFormat="1" ht="13.8" x14ac:dyDescent="0.3">
      <c r="A1904" s="378"/>
      <c r="B1904" s="378"/>
      <c r="C1904" s="379"/>
      <c r="D1904" s="379"/>
      <c r="E1904" s="379"/>
      <c r="F1904" s="379"/>
      <c r="G1904" s="380"/>
    </row>
    <row r="1905" spans="1:7" s="373" customFormat="1" ht="13.8" x14ac:dyDescent="0.3">
      <c r="A1905" s="378"/>
      <c r="B1905" s="378"/>
      <c r="C1905" s="379"/>
      <c r="D1905" s="379"/>
      <c r="E1905" s="379"/>
      <c r="F1905" s="379"/>
      <c r="G1905" s="380"/>
    </row>
    <row r="1906" spans="1:7" s="373" customFormat="1" ht="13.8" x14ac:dyDescent="0.3">
      <c r="A1906" s="378"/>
      <c r="B1906" s="378"/>
      <c r="C1906" s="379"/>
      <c r="D1906" s="379"/>
      <c r="E1906" s="379"/>
      <c r="F1906" s="379"/>
      <c r="G1906" s="380"/>
    </row>
    <row r="1907" spans="1:7" s="373" customFormat="1" ht="13.8" x14ac:dyDescent="0.3">
      <c r="A1907" s="378"/>
      <c r="B1907" s="378"/>
      <c r="C1907" s="379"/>
      <c r="D1907" s="379"/>
      <c r="E1907" s="379"/>
      <c r="F1907" s="379"/>
      <c r="G1907" s="380"/>
    </row>
    <row r="1908" spans="1:7" s="373" customFormat="1" ht="13.8" x14ac:dyDescent="0.3">
      <c r="A1908" s="378"/>
      <c r="B1908" s="378"/>
      <c r="C1908" s="379"/>
      <c r="D1908" s="379"/>
      <c r="E1908" s="379"/>
      <c r="F1908" s="379"/>
      <c r="G1908" s="380"/>
    </row>
    <row r="1909" spans="1:7" s="373" customFormat="1" ht="13.8" x14ac:dyDescent="0.3">
      <c r="A1909" s="378"/>
      <c r="B1909" s="378"/>
      <c r="C1909" s="379"/>
      <c r="D1909" s="379"/>
      <c r="E1909" s="379"/>
      <c r="F1909" s="379"/>
      <c r="G1909" s="380"/>
    </row>
    <row r="1910" spans="1:7" s="373" customFormat="1" ht="13.8" x14ac:dyDescent="0.3">
      <c r="A1910" s="378"/>
      <c r="B1910" s="378"/>
      <c r="C1910" s="379"/>
      <c r="D1910" s="379"/>
      <c r="E1910" s="379"/>
      <c r="F1910" s="379"/>
      <c r="G1910" s="380"/>
    </row>
    <row r="1911" spans="1:7" s="373" customFormat="1" ht="13.8" x14ac:dyDescent="0.3">
      <c r="A1911" s="378"/>
      <c r="B1911" s="378"/>
      <c r="C1911" s="379"/>
      <c r="D1911" s="379"/>
      <c r="E1911" s="379"/>
      <c r="F1911" s="379"/>
      <c r="G1911" s="380"/>
    </row>
    <row r="1912" spans="1:7" s="373" customFormat="1" ht="13.8" x14ac:dyDescent="0.3">
      <c r="A1912" s="378"/>
      <c r="B1912" s="378"/>
      <c r="C1912" s="379"/>
      <c r="D1912" s="379"/>
      <c r="E1912" s="379"/>
      <c r="F1912" s="379"/>
      <c r="G1912" s="380"/>
    </row>
    <row r="1913" spans="1:7" s="373" customFormat="1" ht="13.8" x14ac:dyDescent="0.3">
      <c r="A1913" s="378"/>
      <c r="B1913" s="378"/>
      <c r="C1913" s="379"/>
      <c r="D1913" s="379"/>
      <c r="E1913" s="379"/>
      <c r="F1913" s="379"/>
      <c r="G1913" s="380"/>
    </row>
    <row r="1914" spans="1:7" s="373" customFormat="1" ht="13.8" x14ac:dyDescent="0.3">
      <c r="A1914" s="378"/>
      <c r="B1914" s="378"/>
      <c r="C1914" s="379"/>
      <c r="D1914" s="379"/>
      <c r="E1914" s="379"/>
      <c r="F1914" s="379"/>
      <c r="G1914" s="380"/>
    </row>
    <row r="1915" spans="1:7" s="373" customFormat="1" ht="13.8" x14ac:dyDescent="0.3">
      <c r="A1915" s="378"/>
      <c r="B1915" s="378"/>
      <c r="C1915" s="379"/>
      <c r="D1915" s="379"/>
      <c r="E1915" s="379"/>
      <c r="F1915" s="379"/>
      <c r="G1915" s="380"/>
    </row>
    <row r="1916" spans="1:7" s="373" customFormat="1" ht="13.8" x14ac:dyDescent="0.3">
      <c r="A1916" s="378"/>
      <c r="B1916" s="378"/>
      <c r="C1916" s="379"/>
      <c r="D1916" s="379"/>
      <c r="E1916" s="379"/>
      <c r="F1916" s="379"/>
      <c r="G1916" s="380"/>
    </row>
    <row r="1917" spans="1:7" s="373" customFormat="1" ht="13.8" x14ac:dyDescent="0.3">
      <c r="A1917" s="378"/>
      <c r="B1917" s="378"/>
      <c r="C1917" s="379"/>
      <c r="D1917" s="379"/>
      <c r="E1917" s="379"/>
      <c r="F1917" s="379"/>
      <c r="G1917" s="380"/>
    </row>
    <row r="1918" spans="1:7" s="373" customFormat="1" ht="13.8" x14ac:dyDescent="0.3">
      <c r="A1918" s="378"/>
      <c r="B1918" s="378"/>
      <c r="C1918" s="379"/>
      <c r="D1918" s="379"/>
      <c r="E1918" s="379"/>
      <c r="F1918" s="379"/>
      <c r="G1918" s="380"/>
    </row>
    <row r="1919" spans="1:7" s="373" customFormat="1" ht="13.8" x14ac:dyDescent="0.3">
      <c r="A1919" s="378"/>
      <c r="B1919" s="378"/>
      <c r="C1919" s="379"/>
      <c r="D1919" s="379"/>
      <c r="E1919" s="379"/>
      <c r="F1919" s="379"/>
      <c r="G1919" s="380"/>
    </row>
    <row r="1920" spans="1:7" s="373" customFormat="1" ht="13.8" x14ac:dyDescent="0.3">
      <c r="A1920" s="378"/>
      <c r="B1920" s="378"/>
      <c r="C1920" s="379"/>
      <c r="D1920" s="379"/>
      <c r="E1920" s="379"/>
      <c r="F1920" s="379"/>
      <c r="G1920" s="380"/>
    </row>
    <row r="1921" spans="1:7" s="373" customFormat="1" ht="13.8" x14ac:dyDescent="0.3">
      <c r="A1921" s="378"/>
      <c r="B1921" s="378"/>
      <c r="C1921" s="379"/>
      <c r="D1921" s="379"/>
      <c r="E1921" s="379"/>
      <c r="F1921" s="379"/>
      <c r="G1921" s="380"/>
    </row>
    <row r="1922" spans="1:7" s="373" customFormat="1" ht="13.8" x14ac:dyDescent="0.3">
      <c r="A1922" s="378"/>
      <c r="B1922" s="378"/>
      <c r="C1922" s="379"/>
      <c r="D1922" s="379"/>
      <c r="E1922" s="379"/>
      <c r="F1922" s="379"/>
      <c r="G1922" s="380"/>
    </row>
    <row r="1923" spans="1:7" s="373" customFormat="1" ht="13.8" x14ac:dyDescent="0.3">
      <c r="A1923" s="378"/>
      <c r="B1923" s="378"/>
      <c r="C1923" s="379"/>
      <c r="D1923" s="379"/>
      <c r="E1923" s="379"/>
      <c r="F1923" s="379"/>
      <c r="G1923" s="380"/>
    </row>
    <row r="1924" spans="1:7" s="373" customFormat="1" ht="13.8" x14ac:dyDescent="0.3">
      <c r="A1924" s="378"/>
      <c r="B1924" s="378"/>
      <c r="C1924" s="379"/>
      <c r="D1924" s="379"/>
      <c r="E1924" s="379"/>
      <c r="F1924" s="379"/>
      <c r="G1924" s="380"/>
    </row>
    <row r="1925" spans="1:7" s="373" customFormat="1" ht="13.8" x14ac:dyDescent="0.3">
      <c r="A1925" s="378"/>
      <c r="B1925" s="378"/>
      <c r="C1925" s="379"/>
      <c r="D1925" s="379"/>
      <c r="E1925" s="379"/>
      <c r="F1925" s="379"/>
      <c r="G1925" s="380"/>
    </row>
    <row r="1926" spans="1:7" s="373" customFormat="1" ht="13.8" x14ac:dyDescent="0.3">
      <c r="A1926" s="378"/>
      <c r="B1926" s="378"/>
      <c r="C1926" s="379"/>
      <c r="D1926" s="379"/>
      <c r="E1926" s="379"/>
      <c r="F1926" s="379"/>
      <c r="G1926" s="380"/>
    </row>
    <row r="1927" spans="1:7" s="373" customFormat="1" ht="13.8" x14ac:dyDescent="0.3">
      <c r="A1927" s="378"/>
      <c r="B1927" s="378"/>
      <c r="C1927" s="379"/>
      <c r="D1927" s="379"/>
      <c r="E1927" s="379"/>
      <c r="F1927" s="379"/>
      <c r="G1927" s="380"/>
    </row>
    <row r="1928" spans="1:7" s="373" customFormat="1" ht="13.8" x14ac:dyDescent="0.3">
      <c r="A1928" s="378"/>
      <c r="B1928" s="378"/>
      <c r="C1928" s="379"/>
      <c r="D1928" s="379"/>
      <c r="E1928" s="379"/>
      <c r="F1928" s="379"/>
      <c r="G1928" s="380"/>
    </row>
    <row r="1929" spans="1:7" s="373" customFormat="1" ht="13.8" x14ac:dyDescent="0.3">
      <c r="A1929" s="378"/>
      <c r="B1929" s="378"/>
      <c r="C1929" s="379"/>
      <c r="D1929" s="379"/>
      <c r="E1929" s="379"/>
      <c r="F1929" s="379"/>
      <c r="G1929" s="380"/>
    </row>
    <row r="1930" spans="1:7" s="373" customFormat="1" ht="13.8" x14ac:dyDescent="0.3">
      <c r="A1930" s="378"/>
      <c r="B1930" s="378"/>
      <c r="C1930" s="379"/>
      <c r="D1930" s="379"/>
      <c r="E1930" s="379"/>
      <c r="F1930" s="379"/>
      <c r="G1930" s="380"/>
    </row>
    <row r="1931" spans="1:7" s="373" customFormat="1" ht="13.8" x14ac:dyDescent="0.3">
      <c r="A1931" s="378"/>
      <c r="B1931" s="378"/>
      <c r="C1931" s="379"/>
      <c r="D1931" s="379"/>
      <c r="E1931" s="379"/>
      <c r="F1931" s="379"/>
      <c r="G1931" s="380"/>
    </row>
    <row r="1932" spans="1:7" s="373" customFormat="1" ht="13.8" x14ac:dyDescent="0.3">
      <c r="A1932" s="378"/>
      <c r="B1932" s="378"/>
      <c r="C1932" s="379"/>
      <c r="D1932" s="379"/>
      <c r="E1932" s="379"/>
      <c r="F1932" s="379"/>
      <c r="G1932" s="380"/>
    </row>
    <row r="1933" spans="1:7" s="373" customFormat="1" ht="13.8" x14ac:dyDescent="0.3">
      <c r="A1933" s="378"/>
      <c r="B1933" s="378"/>
      <c r="C1933" s="379"/>
      <c r="D1933" s="379"/>
      <c r="E1933" s="379"/>
      <c r="F1933" s="379"/>
      <c r="G1933" s="380"/>
    </row>
    <row r="1934" spans="1:7" s="373" customFormat="1" ht="13.8" x14ac:dyDescent="0.3">
      <c r="A1934" s="378"/>
      <c r="B1934" s="378"/>
      <c r="C1934" s="379"/>
      <c r="D1934" s="379"/>
      <c r="E1934" s="379"/>
      <c r="F1934" s="379"/>
      <c r="G1934" s="380"/>
    </row>
    <row r="1935" spans="1:7" s="373" customFormat="1" ht="13.8" x14ac:dyDescent="0.3">
      <c r="A1935" s="378"/>
      <c r="B1935" s="378"/>
      <c r="C1935" s="379"/>
      <c r="D1935" s="379"/>
      <c r="E1935" s="379"/>
      <c r="F1935" s="379"/>
      <c r="G1935" s="380"/>
    </row>
    <row r="1936" spans="1:7" s="373" customFormat="1" ht="13.8" x14ac:dyDescent="0.3">
      <c r="A1936" s="378"/>
      <c r="B1936" s="378"/>
      <c r="C1936" s="379"/>
      <c r="D1936" s="379"/>
      <c r="E1936" s="379"/>
      <c r="F1936" s="379"/>
      <c r="G1936" s="380"/>
    </row>
    <row r="1937" spans="1:7" s="373" customFormat="1" ht="13.8" x14ac:dyDescent="0.3">
      <c r="A1937" s="378"/>
      <c r="B1937" s="378"/>
      <c r="C1937" s="379"/>
      <c r="D1937" s="379"/>
      <c r="E1937" s="379"/>
      <c r="F1937" s="379"/>
      <c r="G1937" s="380"/>
    </row>
    <row r="1938" spans="1:7" s="373" customFormat="1" ht="13.8" x14ac:dyDescent="0.3">
      <c r="A1938" s="378"/>
      <c r="B1938" s="378"/>
      <c r="C1938" s="379"/>
      <c r="D1938" s="379"/>
      <c r="E1938" s="379"/>
      <c r="F1938" s="379"/>
      <c r="G1938" s="380"/>
    </row>
    <row r="1939" spans="1:7" s="373" customFormat="1" ht="13.8" x14ac:dyDescent="0.3">
      <c r="A1939" s="378"/>
      <c r="B1939" s="378"/>
      <c r="C1939" s="379"/>
      <c r="D1939" s="379"/>
      <c r="E1939" s="379"/>
      <c r="F1939" s="379"/>
      <c r="G1939" s="380"/>
    </row>
    <row r="1940" spans="1:7" s="373" customFormat="1" ht="13.8" x14ac:dyDescent="0.3">
      <c r="A1940" s="378"/>
      <c r="B1940" s="378"/>
      <c r="C1940" s="379"/>
      <c r="D1940" s="379"/>
      <c r="E1940" s="379"/>
      <c r="F1940" s="379"/>
      <c r="G1940" s="380"/>
    </row>
    <row r="1941" spans="1:7" s="373" customFormat="1" ht="13.8" x14ac:dyDescent="0.3">
      <c r="A1941" s="378"/>
      <c r="B1941" s="378"/>
      <c r="C1941" s="379"/>
      <c r="D1941" s="379"/>
      <c r="E1941" s="379"/>
      <c r="F1941" s="379"/>
      <c r="G1941" s="380"/>
    </row>
    <row r="1942" spans="1:7" s="373" customFormat="1" ht="13.8" x14ac:dyDescent="0.3">
      <c r="A1942" s="378"/>
      <c r="B1942" s="378"/>
      <c r="C1942" s="379"/>
      <c r="D1942" s="379"/>
      <c r="E1942" s="379"/>
      <c r="F1942" s="379"/>
      <c r="G1942" s="380"/>
    </row>
    <row r="1943" spans="1:7" s="373" customFormat="1" ht="13.8" x14ac:dyDescent="0.3">
      <c r="A1943" s="378"/>
      <c r="B1943" s="378"/>
      <c r="C1943" s="379"/>
      <c r="D1943" s="379"/>
      <c r="E1943" s="379"/>
      <c r="F1943" s="379"/>
      <c r="G1943" s="380"/>
    </row>
    <row r="1944" spans="1:7" s="373" customFormat="1" ht="13.8" x14ac:dyDescent="0.3">
      <c r="A1944" s="378"/>
      <c r="B1944" s="378"/>
      <c r="C1944" s="379"/>
      <c r="D1944" s="379"/>
      <c r="E1944" s="379"/>
      <c r="F1944" s="379"/>
      <c r="G1944" s="380"/>
    </row>
    <row r="1945" spans="1:7" s="373" customFormat="1" ht="13.8" x14ac:dyDescent="0.3">
      <c r="A1945" s="378"/>
      <c r="B1945" s="378"/>
      <c r="C1945" s="379"/>
      <c r="D1945" s="379"/>
      <c r="E1945" s="379"/>
      <c r="F1945" s="379"/>
      <c r="G1945" s="380"/>
    </row>
    <row r="1946" spans="1:7" s="373" customFormat="1" ht="13.8" x14ac:dyDescent="0.3">
      <c r="A1946" s="378"/>
      <c r="B1946" s="378"/>
      <c r="C1946" s="379"/>
      <c r="D1946" s="379"/>
      <c r="E1946" s="379"/>
      <c r="F1946" s="379"/>
      <c r="G1946" s="380"/>
    </row>
    <row r="1947" spans="1:7" s="373" customFormat="1" ht="13.8" x14ac:dyDescent="0.3">
      <c r="A1947" s="378"/>
      <c r="B1947" s="378"/>
      <c r="C1947" s="379"/>
      <c r="D1947" s="379"/>
      <c r="E1947" s="379"/>
      <c r="F1947" s="379"/>
      <c r="G1947" s="380"/>
    </row>
    <row r="1948" spans="1:7" s="373" customFormat="1" ht="13.8" x14ac:dyDescent="0.3">
      <c r="A1948" s="378"/>
      <c r="B1948" s="378"/>
      <c r="C1948" s="379"/>
      <c r="D1948" s="379"/>
      <c r="E1948" s="379"/>
      <c r="F1948" s="379"/>
      <c r="G1948" s="380"/>
    </row>
    <row r="1949" spans="1:7" s="373" customFormat="1" ht="13.8" x14ac:dyDescent="0.3">
      <c r="A1949" s="378"/>
      <c r="B1949" s="378"/>
      <c r="C1949" s="379"/>
      <c r="D1949" s="379"/>
      <c r="E1949" s="379"/>
      <c r="F1949" s="379"/>
      <c r="G1949" s="380"/>
    </row>
    <row r="1950" spans="1:7" s="373" customFormat="1" ht="13.8" x14ac:dyDescent="0.3">
      <c r="A1950" s="378"/>
      <c r="B1950" s="378"/>
      <c r="C1950" s="379"/>
      <c r="D1950" s="379"/>
      <c r="E1950" s="379"/>
      <c r="F1950" s="379"/>
      <c r="G1950" s="380"/>
    </row>
    <row r="1951" spans="1:7" s="373" customFormat="1" ht="13.8" x14ac:dyDescent="0.3">
      <c r="A1951" s="378"/>
      <c r="B1951" s="378"/>
      <c r="C1951" s="379"/>
      <c r="D1951" s="379"/>
      <c r="E1951" s="379"/>
      <c r="F1951" s="379"/>
      <c r="G1951" s="380"/>
    </row>
    <row r="1952" spans="1:7" s="373" customFormat="1" ht="13.8" x14ac:dyDescent="0.3">
      <c r="A1952" s="378"/>
      <c r="B1952" s="378"/>
      <c r="C1952" s="379"/>
      <c r="D1952" s="379"/>
      <c r="E1952" s="379"/>
      <c r="F1952" s="379"/>
      <c r="G1952" s="380"/>
    </row>
    <row r="1953" spans="1:7" s="373" customFormat="1" ht="13.8" x14ac:dyDescent="0.3">
      <c r="A1953" s="378"/>
      <c r="B1953" s="378"/>
      <c r="C1953" s="379"/>
      <c r="D1953" s="379"/>
      <c r="E1953" s="379"/>
      <c r="F1953" s="379"/>
      <c r="G1953" s="380"/>
    </row>
    <row r="1954" spans="1:7" s="373" customFormat="1" ht="13.8" x14ac:dyDescent="0.3">
      <c r="A1954" s="378"/>
      <c r="B1954" s="378"/>
      <c r="C1954" s="379"/>
      <c r="D1954" s="379"/>
      <c r="E1954" s="379"/>
      <c r="F1954" s="379"/>
      <c r="G1954" s="380"/>
    </row>
    <row r="1955" spans="1:7" s="373" customFormat="1" ht="13.8" x14ac:dyDescent="0.3">
      <c r="A1955" s="378"/>
      <c r="B1955" s="378"/>
      <c r="C1955" s="379"/>
      <c r="D1955" s="379"/>
      <c r="E1955" s="379"/>
      <c r="F1955" s="379"/>
      <c r="G1955" s="380"/>
    </row>
    <row r="1956" spans="1:7" s="373" customFormat="1" ht="13.8" x14ac:dyDescent="0.3">
      <c r="A1956" s="378"/>
      <c r="B1956" s="378"/>
      <c r="C1956" s="379"/>
      <c r="D1956" s="379"/>
      <c r="E1956" s="379"/>
      <c r="F1956" s="379"/>
      <c r="G1956" s="380"/>
    </row>
    <row r="1957" spans="1:7" s="373" customFormat="1" ht="13.8" x14ac:dyDescent="0.3">
      <c r="A1957" s="378"/>
      <c r="B1957" s="378"/>
      <c r="C1957" s="379"/>
      <c r="D1957" s="379"/>
      <c r="E1957" s="379"/>
      <c r="F1957" s="379"/>
      <c r="G1957" s="380"/>
    </row>
    <row r="1958" spans="1:7" s="373" customFormat="1" ht="13.8" x14ac:dyDescent="0.3">
      <c r="A1958" s="378"/>
      <c r="B1958" s="378"/>
      <c r="C1958" s="379"/>
      <c r="D1958" s="379"/>
      <c r="E1958" s="379"/>
      <c r="F1958" s="379"/>
      <c r="G1958" s="380"/>
    </row>
    <row r="1959" spans="1:7" s="373" customFormat="1" ht="13.8" x14ac:dyDescent="0.3">
      <c r="A1959" s="378"/>
      <c r="B1959" s="378"/>
      <c r="C1959" s="379"/>
      <c r="D1959" s="379"/>
      <c r="E1959" s="379"/>
      <c r="F1959" s="379"/>
      <c r="G1959" s="380"/>
    </row>
    <row r="1960" spans="1:7" s="373" customFormat="1" ht="13.8" x14ac:dyDescent="0.3">
      <c r="A1960" s="378"/>
      <c r="B1960" s="378"/>
      <c r="C1960" s="379"/>
      <c r="D1960" s="379"/>
      <c r="E1960" s="379"/>
      <c r="F1960" s="379"/>
      <c r="G1960" s="380"/>
    </row>
    <row r="1961" spans="1:7" s="373" customFormat="1" ht="13.8" x14ac:dyDescent="0.3">
      <c r="A1961" s="378"/>
      <c r="B1961" s="378"/>
      <c r="C1961" s="379"/>
      <c r="D1961" s="379"/>
      <c r="E1961" s="379"/>
      <c r="F1961" s="379"/>
      <c r="G1961" s="380"/>
    </row>
    <row r="1962" spans="1:7" s="373" customFormat="1" ht="13.8" x14ac:dyDescent="0.3">
      <c r="A1962" s="378"/>
      <c r="B1962" s="378"/>
      <c r="C1962" s="379"/>
      <c r="D1962" s="379"/>
      <c r="E1962" s="379"/>
      <c r="F1962" s="379"/>
      <c r="G1962" s="380"/>
    </row>
    <row r="1963" spans="1:7" s="373" customFormat="1" ht="13.8" x14ac:dyDescent="0.3">
      <c r="A1963" s="378"/>
      <c r="B1963" s="378"/>
      <c r="C1963" s="379"/>
      <c r="D1963" s="379"/>
      <c r="E1963" s="379"/>
      <c r="F1963" s="379"/>
      <c r="G1963" s="380"/>
    </row>
    <row r="1964" spans="1:7" s="373" customFormat="1" ht="13.8" x14ac:dyDescent="0.3">
      <c r="A1964" s="378"/>
      <c r="B1964" s="378"/>
      <c r="C1964" s="379"/>
      <c r="D1964" s="379"/>
      <c r="E1964" s="379"/>
      <c r="F1964" s="379"/>
      <c r="G1964" s="380"/>
    </row>
    <row r="1965" spans="1:7" s="373" customFormat="1" ht="13.8" x14ac:dyDescent="0.3">
      <c r="A1965" s="378"/>
      <c r="B1965" s="378"/>
      <c r="C1965" s="379"/>
      <c r="D1965" s="379"/>
      <c r="E1965" s="379"/>
      <c r="F1965" s="379"/>
      <c r="G1965" s="380"/>
    </row>
    <row r="1966" spans="1:7" s="373" customFormat="1" ht="13.8" x14ac:dyDescent="0.3">
      <c r="A1966" s="378"/>
      <c r="B1966" s="378"/>
      <c r="C1966" s="379"/>
      <c r="D1966" s="379"/>
      <c r="E1966" s="379"/>
      <c r="F1966" s="379"/>
      <c r="G1966" s="380"/>
    </row>
    <row r="1967" spans="1:7" s="373" customFormat="1" ht="13.8" x14ac:dyDescent="0.3">
      <c r="A1967" s="378"/>
      <c r="B1967" s="378"/>
      <c r="C1967" s="379"/>
      <c r="D1967" s="379"/>
      <c r="E1967" s="379"/>
      <c r="F1967" s="379"/>
      <c r="G1967" s="380"/>
    </row>
    <row r="1968" spans="1:7" s="373" customFormat="1" ht="13.8" x14ac:dyDescent="0.3">
      <c r="A1968" s="378"/>
      <c r="B1968" s="378"/>
      <c r="C1968" s="379"/>
      <c r="D1968" s="379"/>
      <c r="E1968" s="379"/>
      <c r="F1968" s="379"/>
      <c r="G1968" s="380"/>
    </row>
    <row r="1969" spans="1:7" s="373" customFormat="1" ht="13.8" x14ac:dyDescent="0.3">
      <c r="A1969" s="378"/>
      <c r="B1969" s="378"/>
      <c r="C1969" s="379"/>
      <c r="D1969" s="379"/>
      <c r="E1969" s="379"/>
      <c r="F1969" s="379"/>
      <c r="G1969" s="380"/>
    </row>
    <row r="1970" spans="1:7" s="373" customFormat="1" ht="13.8" x14ac:dyDescent="0.3">
      <c r="A1970" s="378"/>
      <c r="B1970" s="378"/>
      <c r="C1970" s="379"/>
      <c r="D1970" s="379"/>
      <c r="E1970" s="379"/>
      <c r="F1970" s="379"/>
      <c r="G1970" s="380"/>
    </row>
    <row r="1971" spans="1:7" s="373" customFormat="1" ht="13.8" x14ac:dyDescent="0.3">
      <c r="A1971" s="378"/>
      <c r="B1971" s="378"/>
      <c r="C1971" s="379"/>
      <c r="D1971" s="379"/>
      <c r="E1971" s="379"/>
      <c r="F1971" s="379"/>
      <c r="G1971" s="380"/>
    </row>
    <row r="1972" spans="1:7" s="373" customFormat="1" ht="13.8" x14ac:dyDescent="0.3">
      <c r="A1972" s="378"/>
      <c r="B1972" s="378"/>
      <c r="C1972" s="379"/>
      <c r="D1972" s="379"/>
      <c r="E1972" s="379"/>
      <c r="F1972" s="379"/>
      <c r="G1972" s="380"/>
    </row>
    <row r="1973" spans="1:7" s="373" customFormat="1" ht="13.8" x14ac:dyDescent="0.3">
      <c r="A1973" s="378"/>
      <c r="B1973" s="378"/>
      <c r="C1973" s="379"/>
      <c r="D1973" s="379"/>
      <c r="E1973" s="379"/>
      <c r="F1973" s="379"/>
      <c r="G1973" s="380"/>
    </row>
    <row r="1974" spans="1:7" s="373" customFormat="1" ht="13.8" x14ac:dyDescent="0.3">
      <c r="A1974" s="378"/>
      <c r="B1974" s="378"/>
      <c r="C1974" s="379"/>
      <c r="D1974" s="379"/>
      <c r="E1974" s="379"/>
      <c r="F1974" s="379"/>
      <c r="G1974" s="380"/>
    </row>
    <row r="1975" spans="1:7" s="373" customFormat="1" ht="13.8" x14ac:dyDescent="0.3">
      <c r="A1975" s="378"/>
      <c r="B1975" s="378"/>
      <c r="C1975" s="379"/>
      <c r="D1975" s="379"/>
      <c r="E1975" s="379"/>
      <c r="F1975" s="379"/>
      <c r="G1975" s="380"/>
    </row>
    <row r="1976" spans="1:7" s="373" customFormat="1" ht="13.8" x14ac:dyDescent="0.3">
      <c r="A1976" s="378"/>
      <c r="B1976" s="378"/>
      <c r="C1976" s="379"/>
      <c r="D1976" s="379"/>
      <c r="E1976" s="379"/>
      <c r="F1976" s="379"/>
      <c r="G1976" s="380"/>
    </row>
    <row r="1977" spans="1:7" s="373" customFormat="1" ht="13.8" x14ac:dyDescent="0.3">
      <c r="A1977" s="378"/>
      <c r="B1977" s="378"/>
      <c r="C1977" s="379"/>
      <c r="D1977" s="379"/>
      <c r="E1977" s="379"/>
      <c r="F1977" s="379"/>
      <c r="G1977" s="380"/>
    </row>
    <row r="1978" spans="1:7" s="373" customFormat="1" ht="13.8" x14ac:dyDescent="0.3">
      <c r="A1978" s="378"/>
      <c r="B1978" s="378"/>
      <c r="C1978" s="379"/>
      <c r="D1978" s="379"/>
      <c r="E1978" s="379"/>
      <c r="F1978" s="379"/>
      <c r="G1978" s="380"/>
    </row>
    <row r="1979" spans="1:7" s="373" customFormat="1" ht="13.8" x14ac:dyDescent="0.3">
      <c r="A1979" s="378"/>
      <c r="B1979" s="378"/>
      <c r="C1979" s="379"/>
      <c r="D1979" s="379"/>
      <c r="E1979" s="379"/>
      <c r="F1979" s="379"/>
      <c r="G1979" s="380"/>
    </row>
    <row r="1980" spans="1:7" s="373" customFormat="1" ht="13.8" x14ac:dyDescent="0.3">
      <c r="A1980" s="378"/>
      <c r="B1980" s="378"/>
      <c r="C1980" s="379"/>
      <c r="D1980" s="379"/>
      <c r="E1980" s="379"/>
      <c r="F1980" s="379"/>
      <c r="G1980" s="380"/>
    </row>
    <row r="1981" spans="1:7" s="373" customFormat="1" ht="13.8" x14ac:dyDescent="0.3">
      <c r="A1981" s="378"/>
      <c r="B1981" s="378"/>
      <c r="C1981" s="379"/>
      <c r="D1981" s="379"/>
      <c r="E1981" s="379"/>
      <c r="F1981" s="379"/>
      <c r="G1981" s="380"/>
    </row>
    <row r="1982" spans="1:7" s="373" customFormat="1" ht="13.8" x14ac:dyDescent="0.3">
      <c r="A1982" s="378"/>
      <c r="B1982" s="378"/>
      <c r="C1982" s="379"/>
      <c r="D1982" s="379"/>
      <c r="E1982" s="379"/>
      <c r="F1982" s="379"/>
      <c r="G1982" s="380"/>
    </row>
    <row r="1983" spans="1:7" s="373" customFormat="1" ht="13.8" x14ac:dyDescent="0.3">
      <c r="A1983" s="378"/>
      <c r="B1983" s="378"/>
      <c r="C1983" s="379"/>
      <c r="D1983" s="379"/>
      <c r="E1983" s="379"/>
      <c r="F1983" s="379"/>
      <c r="G1983" s="380"/>
    </row>
    <row r="1984" spans="1:7" s="373" customFormat="1" ht="13.8" x14ac:dyDescent="0.3">
      <c r="A1984" s="378"/>
      <c r="B1984" s="378"/>
      <c r="C1984" s="379"/>
      <c r="D1984" s="379"/>
      <c r="E1984" s="379"/>
      <c r="F1984" s="379"/>
      <c r="G1984" s="380"/>
    </row>
    <row r="1985" spans="1:7" s="373" customFormat="1" ht="13.8" x14ac:dyDescent="0.3">
      <c r="A1985" s="378"/>
      <c r="B1985" s="378"/>
      <c r="C1985" s="379"/>
      <c r="D1985" s="379"/>
      <c r="E1985" s="379"/>
      <c r="F1985" s="379"/>
      <c r="G1985" s="380"/>
    </row>
    <row r="1986" spans="1:7" s="373" customFormat="1" ht="13.8" x14ac:dyDescent="0.3">
      <c r="A1986" s="378"/>
      <c r="B1986" s="378"/>
      <c r="C1986" s="379"/>
      <c r="D1986" s="379"/>
      <c r="E1986" s="379"/>
      <c r="F1986" s="379"/>
      <c r="G1986" s="380"/>
    </row>
    <row r="1987" spans="1:7" s="373" customFormat="1" ht="13.8" x14ac:dyDescent="0.3">
      <c r="A1987" s="378"/>
      <c r="B1987" s="378"/>
      <c r="C1987" s="379"/>
      <c r="D1987" s="379"/>
      <c r="E1987" s="379"/>
      <c r="F1987" s="379"/>
      <c r="G1987" s="380"/>
    </row>
    <row r="1988" spans="1:7" s="373" customFormat="1" ht="13.8" x14ac:dyDescent="0.3">
      <c r="A1988" s="378"/>
      <c r="B1988" s="378"/>
      <c r="C1988" s="379"/>
      <c r="D1988" s="379"/>
      <c r="E1988" s="379"/>
      <c r="F1988" s="379"/>
      <c r="G1988" s="380"/>
    </row>
    <row r="1989" spans="1:7" s="373" customFormat="1" ht="13.8" x14ac:dyDescent="0.3">
      <c r="A1989" s="378"/>
      <c r="B1989" s="378"/>
      <c r="C1989" s="379"/>
      <c r="D1989" s="379"/>
      <c r="E1989" s="379"/>
      <c r="F1989" s="379"/>
      <c r="G1989" s="380"/>
    </row>
    <row r="1990" spans="1:7" s="373" customFormat="1" ht="13.8" x14ac:dyDescent="0.3">
      <c r="A1990" s="378"/>
      <c r="B1990" s="378"/>
      <c r="C1990" s="379"/>
      <c r="D1990" s="379"/>
      <c r="E1990" s="379"/>
      <c r="F1990" s="379"/>
      <c r="G1990" s="380"/>
    </row>
    <row r="1991" spans="1:7" s="373" customFormat="1" ht="13.8" x14ac:dyDescent="0.3">
      <c r="A1991" s="378"/>
      <c r="B1991" s="378"/>
      <c r="C1991" s="379"/>
      <c r="D1991" s="379"/>
      <c r="E1991" s="379"/>
      <c r="F1991" s="379"/>
      <c r="G1991" s="380"/>
    </row>
    <row r="1992" spans="1:7" s="373" customFormat="1" ht="13.8" x14ac:dyDescent="0.3">
      <c r="A1992" s="378"/>
      <c r="B1992" s="378"/>
      <c r="C1992" s="379"/>
      <c r="D1992" s="379"/>
      <c r="E1992" s="379"/>
      <c r="F1992" s="379"/>
      <c r="G1992" s="380"/>
    </row>
    <row r="1993" spans="1:7" s="373" customFormat="1" ht="13.8" x14ac:dyDescent="0.3">
      <c r="A1993" s="378"/>
      <c r="B1993" s="378"/>
      <c r="C1993" s="379"/>
      <c r="D1993" s="379"/>
      <c r="E1993" s="379"/>
      <c r="F1993" s="379"/>
      <c r="G1993" s="380"/>
    </row>
    <row r="1994" spans="1:7" s="373" customFormat="1" ht="13.8" x14ac:dyDescent="0.3">
      <c r="A1994" s="378"/>
      <c r="B1994" s="378"/>
      <c r="C1994" s="379"/>
      <c r="D1994" s="379"/>
      <c r="E1994" s="379"/>
      <c r="F1994" s="379"/>
      <c r="G1994" s="380"/>
    </row>
    <row r="1995" spans="1:7" s="373" customFormat="1" ht="13.8" x14ac:dyDescent="0.3">
      <c r="A1995" s="378"/>
      <c r="B1995" s="378"/>
      <c r="C1995" s="379"/>
      <c r="D1995" s="379"/>
      <c r="E1995" s="379"/>
      <c r="F1995" s="379"/>
      <c r="G1995" s="380"/>
    </row>
    <row r="1996" spans="1:7" s="373" customFormat="1" ht="13.8" x14ac:dyDescent="0.3">
      <c r="A1996" s="378"/>
      <c r="B1996" s="378"/>
      <c r="C1996" s="379"/>
      <c r="D1996" s="379"/>
      <c r="E1996" s="379"/>
      <c r="F1996" s="379"/>
      <c r="G1996" s="380"/>
    </row>
    <row r="1997" spans="1:7" s="373" customFormat="1" ht="13.8" x14ac:dyDescent="0.3">
      <c r="A1997" s="378"/>
      <c r="B1997" s="378"/>
      <c r="C1997" s="379"/>
      <c r="D1997" s="379"/>
      <c r="E1997" s="379"/>
      <c r="F1997" s="379"/>
      <c r="G1997" s="380"/>
    </row>
    <row r="1998" spans="1:7" s="373" customFormat="1" ht="13.8" x14ac:dyDescent="0.3">
      <c r="A1998" s="378"/>
      <c r="B1998" s="378"/>
      <c r="C1998" s="379"/>
      <c r="D1998" s="379"/>
      <c r="E1998" s="379"/>
      <c r="F1998" s="379"/>
      <c r="G1998" s="380"/>
    </row>
    <row r="1999" spans="1:7" s="373" customFormat="1" ht="13.8" x14ac:dyDescent="0.3">
      <c r="A1999" s="378"/>
      <c r="B1999" s="378"/>
      <c r="C1999" s="379"/>
      <c r="D1999" s="379"/>
      <c r="E1999" s="379"/>
      <c r="F1999" s="379"/>
      <c r="G1999" s="380"/>
    </row>
    <row r="2000" spans="1:7" s="373" customFormat="1" ht="13.8" x14ac:dyDescent="0.3">
      <c r="A2000" s="378"/>
      <c r="B2000" s="378"/>
      <c r="C2000" s="379"/>
      <c r="D2000" s="379"/>
      <c r="E2000" s="379"/>
      <c r="F2000" s="379"/>
      <c r="G2000" s="380"/>
    </row>
    <row r="2001" spans="1:7" s="373" customFormat="1" ht="13.8" x14ac:dyDescent="0.3">
      <c r="A2001" s="378"/>
      <c r="B2001" s="378"/>
      <c r="C2001" s="379"/>
      <c r="D2001" s="379"/>
      <c r="E2001" s="379"/>
      <c r="F2001" s="379"/>
      <c r="G2001" s="380"/>
    </row>
    <row r="2002" spans="1:7" s="373" customFormat="1" ht="13.8" x14ac:dyDescent="0.3">
      <c r="A2002" s="378"/>
      <c r="B2002" s="378"/>
      <c r="C2002" s="379"/>
      <c r="D2002" s="379"/>
      <c r="E2002" s="379"/>
      <c r="F2002" s="379"/>
      <c r="G2002" s="380"/>
    </row>
    <row r="2003" spans="1:7" s="373" customFormat="1" ht="13.8" x14ac:dyDescent="0.3">
      <c r="A2003" s="378"/>
      <c r="B2003" s="378"/>
      <c r="C2003" s="379"/>
      <c r="D2003" s="379"/>
      <c r="E2003" s="379"/>
      <c r="F2003" s="379"/>
      <c r="G2003" s="380"/>
    </row>
    <row r="2004" spans="1:7" s="373" customFormat="1" ht="13.8" x14ac:dyDescent="0.3">
      <c r="A2004" s="378"/>
      <c r="B2004" s="378"/>
      <c r="C2004" s="379"/>
      <c r="D2004" s="379"/>
      <c r="E2004" s="379"/>
      <c r="F2004" s="379"/>
      <c r="G2004" s="380"/>
    </row>
    <row r="2005" spans="1:7" s="373" customFormat="1" ht="13.8" x14ac:dyDescent="0.3">
      <c r="A2005" s="378"/>
      <c r="B2005" s="378"/>
      <c r="C2005" s="379"/>
      <c r="D2005" s="379"/>
      <c r="E2005" s="379"/>
      <c r="F2005" s="379"/>
      <c r="G2005" s="380"/>
    </row>
    <row r="2006" spans="1:7" s="373" customFormat="1" ht="13.8" x14ac:dyDescent="0.3">
      <c r="A2006" s="378"/>
      <c r="B2006" s="378"/>
      <c r="C2006" s="379"/>
      <c r="D2006" s="379"/>
      <c r="E2006" s="379"/>
      <c r="F2006" s="379"/>
      <c r="G2006" s="380"/>
    </row>
    <row r="2007" spans="1:7" s="373" customFormat="1" ht="13.8" x14ac:dyDescent="0.3">
      <c r="A2007" s="378"/>
      <c r="B2007" s="378"/>
      <c r="C2007" s="379"/>
      <c r="D2007" s="379"/>
      <c r="E2007" s="379"/>
      <c r="F2007" s="379"/>
      <c r="G2007" s="380"/>
    </row>
    <row r="2008" spans="1:7" s="373" customFormat="1" ht="13.8" x14ac:dyDescent="0.3">
      <c r="A2008" s="378"/>
      <c r="B2008" s="378"/>
      <c r="C2008" s="379"/>
      <c r="D2008" s="379"/>
      <c r="E2008" s="379"/>
      <c r="F2008" s="379"/>
      <c r="G2008" s="380"/>
    </row>
    <row r="2009" spans="1:7" s="373" customFormat="1" ht="13.8" x14ac:dyDescent="0.3">
      <c r="A2009" s="378"/>
      <c r="B2009" s="378"/>
      <c r="C2009" s="379"/>
      <c r="D2009" s="379"/>
      <c r="E2009" s="379"/>
      <c r="F2009" s="379"/>
      <c r="G2009" s="380"/>
    </row>
    <row r="2010" spans="1:7" s="373" customFormat="1" ht="13.8" x14ac:dyDescent="0.3">
      <c r="A2010" s="378"/>
      <c r="B2010" s="378"/>
      <c r="C2010" s="379"/>
      <c r="D2010" s="379"/>
      <c r="E2010" s="379"/>
      <c r="F2010" s="379"/>
      <c r="G2010" s="380"/>
    </row>
    <row r="2011" spans="1:7" s="373" customFormat="1" ht="13.8" x14ac:dyDescent="0.3">
      <c r="A2011" s="378"/>
      <c r="B2011" s="378"/>
      <c r="C2011" s="379"/>
      <c r="D2011" s="379"/>
      <c r="E2011" s="379"/>
      <c r="F2011" s="379"/>
      <c r="G2011" s="380"/>
    </row>
    <row r="2012" spans="1:7" s="373" customFormat="1" ht="13.8" x14ac:dyDescent="0.3">
      <c r="A2012" s="378"/>
      <c r="B2012" s="378"/>
      <c r="C2012" s="379"/>
      <c r="D2012" s="379"/>
      <c r="E2012" s="379"/>
      <c r="F2012" s="379"/>
      <c r="G2012" s="380"/>
    </row>
    <row r="2013" spans="1:7" s="373" customFormat="1" ht="13.8" x14ac:dyDescent="0.3">
      <c r="A2013" s="378"/>
      <c r="B2013" s="378"/>
      <c r="C2013" s="379"/>
      <c r="D2013" s="379"/>
      <c r="E2013" s="379"/>
      <c r="F2013" s="379"/>
      <c r="G2013" s="380"/>
    </row>
    <row r="2014" spans="1:7" s="373" customFormat="1" ht="13.8" x14ac:dyDescent="0.3">
      <c r="A2014" s="378"/>
      <c r="B2014" s="378"/>
      <c r="C2014" s="379"/>
      <c r="D2014" s="379"/>
      <c r="E2014" s="379"/>
      <c r="F2014" s="379"/>
      <c r="G2014" s="380"/>
    </row>
    <row r="2015" spans="1:7" s="373" customFormat="1" ht="13.8" x14ac:dyDescent="0.3">
      <c r="A2015" s="378"/>
      <c r="B2015" s="378"/>
      <c r="C2015" s="379"/>
      <c r="D2015" s="379"/>
      <c r="E2015" s="379"/>
      <c r="F2015" s="379"/>
      <c r="G2015" s="380"/>
    </row>
    <row r="2016" spans="1:7" s="373" customFormat="1" ht="13.8" x14ac:dyDescent="0.3">
      <c r="A2016" s="378"/>
      <c r="B2016" s="378"/>
      <c r="C2016" s="379"/>
      <c r="D2016" s="379"/>
      <c r="E2016" s="379"/>
      <c r="F2016" s="379"/>
      <c r="G2016" s="380"/>
    </row>
    <row r="2017" spans="1:7" s="373" customFormat="1" ht="13.8" x14ac:dyDescent="0.3">
      <c r="A2017" s="378"/>
      <c r="B2017" s="378"/>
      <c r="C2017" s="379"/>
      <c r="D2017" s="379"/>
      <c r="E2017" s="379"/>
      <c r="F2017" s="379"/>
      <c r="G2017" s="380"/>
    </row>
    <row r="2018" spans="1:7" s="373" customFormat="1" ht="13.8" x14ac:dyDescent="0.3">
      <c r="A2018" s="378"/>
      <c r="B2018" s="378"/>
      <c r="C2018" s="379"/>
      <c r="D2018" s="379"/>
      <c r="E2018" s="379"/>
      <c r="F2018" s="379"/>
      <c r="G2018" s="380"/>
    </row>
    <row r="2019" spans="1:7" s="373" customFormat="1" ht="13.8" x14ac:dyDescent="0.3">
      <c r="A2019" s="378"/>
      <c r="B2019" s="378"/>
      <c r="C2019" s="379"/>
      <c r="D2019" s="379"/>
      <c r="E2019" s="379"/>
      <c r="F2019" s="379"/>
      <c r="G2019" s="380"/>
    </row>
    <row r="2020" spans="1:7" s="373" customFormat="1" ht="13.8" x14ac:dyDescent="0.3">
      <c r="A2020" s="378"/>
      <c r="B2020" s="378"/>
      <c r="C2020" s="379"/>
      <c r="D2020" s="379"/>
      <c r="E2020" s="379"/>
      <c r="F2020" s="379"/>
      <c r="G2020" s="380"/>
    </row>
    <row r="2021" spans="1:7" s="373" customFormat="1" ht="13.8" x14ac:dyDescent="0.3">
      <c r="A2021" s="378"/>
      <c r="B2021" s="378"/>
      <c r="C2021" s="379"/>
      <c r="D2021" s="379"/>
      <c r="E2021" s="379"/>
      <c r="F2021" s="379"/>
      <c r="G2021" s="380"/>
    </row>
    <row r="2022" spans="1:7" s="373" customFormat="1" ht="13.8" x14ac:dyDescent="0.3">
      <c r="A2022" s="378"/>
      <c r="B2022" s="378"/>
      <c r="C2022" s="379"/>
      <c r="D2022" s="379"/>
      <c r="E2022" s="379"/>
      <c r="F2022" s="379"/>
      <c r="G2022" s="380"/>
    </row>
    <row r="2023" spans="1:7" s="373" customFormat="1" ht="13.8" x14ac:dyDescent="0.3">
      <c r="A2023" s="378"/>
      <c r="B2023" s="378"/>
      <c r="C2023" s="379"/>
      <c r="D2023" s="379"/>
      <c r="E2023" s="379"/>
      <c r="F2023" s="379"/>
      <c r="G2023" s="380"/>
    </row>
    <row r="2024" spans="1:7" s="373" customFormat="1" ht="13.8" x14ac:dyDescent="0.3">
      <c r="A2024" s="378"/>
      <c r="B2024" s="378"/>
      <c r="C2024" s="379"/>
      <c r="D2024" s="379"/>
      <c r="E2024" s="379"/>
      <c r="F2024" s="379"/>
      <c r="G2024" s="380"/>
    </row>
    <row r="2025" spans="1:7" s="373" customFormat="1" ht="13.8" x14ac:dyDescent="0.3">
      <c r="A2025" s="378"/>
      <c r="B2025" s="378"/>
      <c r="C2025" s="379"/>
      <c r="D2025" s="379"/>
      <c r="E2025" s="379"/>
      <c r="F2025" s="379"/>
      <c r="G2025" s="380"/>
    </row>
    <row r="2026" spans="1:7" s="373" customFormat="1" ht="13.8" x14ac:dyDescent="0.3">
      <c r="A2026" s="378"/>
      <c r="B2026" s="378"/>
      <c r="C2026" s="379"/>
      <c r="D2026" s="379"/>
      <c r="E2026" s="379"/>
      <c r="F2026" s="379"/>
      <c r="G2026" s="380"/>
    </row>
    <row r="2027" spans="1:7" s="373" customFormat="1" ht="13.8" x14ac:dyDescent="0.3">
      <c r="A2027" s="378"/>
      <c r="B2027" s="378"/>
      <c r="C2027" s="379"/>
      <c r="D2027" s="379"/>
      <c r="E2027" s="379"/>
      <c r="F2027" s="379"/>
      <c r="G2027" s="380"/>
    </row>
    <row r="2028" spans="1:7" s="373" customFormat="1" ht="13.8" x14ac:dyDescent="0.3">
      <c r="A2028" s="378"/>
      <c r="B2028" s="378"/>
      <c r="C2028" s="379"/>
      <c r="D2028" s="379"/>
      <c r="E2028" s="379"/>
      <c r="F2028" s="379"/>
      <c r="G2028" s="380"/>
    </row>
    <row r="2029" spans="1:7" s="373" customFormat="1" ht="13.8" x14ac:dyDescent="0.3">
      <c r="A2029" s="378"/>
      <c r="B2029" s="378"/>
      <c r="C2029" s="379"/>
      <c r="D2029" s="379"/>
      <c r="E2029" s="379"/>
      <c r="F2029" s="379"/>
      <c r="G2029" s="380"/>
    </row>
    <row r="2030" spans="1:7" s="373" customFormat="1" ht="13.8" x14ac:dyDescent="0.3">
      <c r="A2030" s="378"/>
      <c r="B2030" s="378"/>
      <c r="C2030" s="379"/>
      <c r="D2030" s="379"/>
      <c r="E2030" s="379"/>
      <c r="F2030" s="379"/>
      <c r="G2030" s="380"/>
    </row>
    <row r="2031" spans="1:7" s="373" customFormat="1" ht="13.8" x14ac:dyDescent="0.3">
      <c r="A2031" s="378"/>
      <c r="B2031" s="378"/>
      <c r="C2031" s="379"/>
      <c r="D2031" s="379"/>
      <c r="E2031" s="379"/>
      <c r="F2031" s="379"/>
      <c r="G2031" s="380"/>
    </row>
    <row r="2032" spans="1:7" s="373" customFormat="1" ht="13.8" x14ac:dyDescent="0.3">
      <c r="A2032" s="378"/>
      <c r="B2032" s="378"/>
      <c r="C2032" s="379"/>
      <c r="D2032" s="379"/>
      <c r="E2032" s="379"/>
      <c r="F2032" s="379"/>
      <c r="G2032" s="380"/>
    </row>
    <row r="2033" spans="1:7" s="373" customFormat="1" ht="13.8" x14ac:dyDescent="0.3">
      <c r="A2033" s="378"/>
      <c r="B2033" s="378"/>
      <c r="C2033" s="379"/>
      <c r="D2033" s="379"/>
      <c r="E2033" s="379"/>
      <c r="F2033" s="379"/>
      <c r="G2033" s="380"/>
    </row>
    <row r="2034" spans="1:7" s="373" customFormat="1" ht="13.8" x14ac:dyDescent="0.3">
      <c r="A2034" s="378"/>
      <c r="B2034" s="378"/>
      <c r="C2034" s="379"/>
      <c r="D2034" s="379"/>
      <c r="E2034" s="379"/>
      <c r="F2034" s="379"/>
      <c r="G2034" s="380"/>
    </row>
    <row r="2035" spans="1:7" s="373" customFormat="1" ht="13.8" x14ac:dyDescent="0.3">
      <c r="A2035" s="378"/>
      <c r="B2035" s="378"/>
      <c r="C2035" s="379"/>
      <c r="D2035" s="379"/>
      <c r="E2035" s="379"/>
      <c r="F2035" s="379"/>
      <c r="G2035" s="380"/>
    </row>
    <row r="2036" spans="1:7" s="373" customFormat="1" ht="13.8" x14ac:dyDescent="0.3">
      <c r="A2036" s="378"/>
      <c r="B2036" s="378"/>
      <c r="C2036" s="379"/>
      <c r="D2036" s="379"/>
      <c r="E2036" s="379"/>
      <c r="F2036" s="379"/>
      <c r="G2036" s="380"/>
    </row>
    <row r="2037" spans="1:7" s="373" customFormat="1" ht="13.8" x14ac:dyDescent="0.3">
      <c r="A2037" s="378"/>
      <c r="B2037" s="378"/>
      <c r="C2037" s="379"/>
      <c r="D2037" s="379"/>
      <c r="E2037" s="379"/>
      <c r="F2037" s="379"/>
      <c r="G2037" s="380"/>
    </row>
    <row r="2038" spans="1:7" s="373" customFormat="1" ht="13.8" x14ac:dyDescent="0.3">
      <c r="A2038" s="378"/>
      <c r="B2038" s="378"/>
      <c r="C2038" s="379"/>
      <c r="D2038" s="379"/>
      <c r="E2038" s="379"/>
      <c r="F2038" s="379"/>
      <c r="G2038" s="380"/>
    </row>
    <row r="2039" spans="1:7" s="373" customFormat="1" ht="13.8" x14ac:dyDescent="0.3">
      <c r="A2039" s="378"/>
      <c r="B2039" s="378"/>
      <c r="C2039" s="379"/>
      <c r="D2039" s="379"/>
      <c r="E2039" s="379"/>
      <c r="F2039" s="379"/>
      <c r="G2039" s="380"/>
    </row>
    <row r="2040" spans="1:7" s="373" customFormat="1" ht="13.8" x14ac:dyDescent="0.3">
      <c r="A2040" s="378"/>
      <c r="B2040" s="378"/>
      <c r="C2040" s="379"/>
      <c r="D2040" s="379"/>
      <c r="E2040" s="379"/>
      <c r="F2040" s="379"/>
      <c r="G2040" s="380"/>
    </row>
    <row r="2041" spans="1:7" s="373" customFormat="1" ht="13.8" x14ac:dyDescent="0.3">
      <c r="A2041" s="378"/>
      <c r="B2041" s="378"/>
      <c r="C2041" s="379"/>
      <c r="D2041" s="379"/>
      <c r="E2041" s="379"/>
      <c r="F2041" s="379"/>
      <c r="G2041" s="380"/>
    </row>
    <row r="2042" spans="1:7" s="373" customFormat="1" ht="13.8" x14ac:dyDescent="0.3">
      <c r="A2042" s="378"/>
      <c r="B2042" s="378"/>
      <c r="C2042" s="379"/>
      <c r="D2042" s="379"/>
      <c r="E2042" s="379"/>
      <c r="F2042" s="379"/>
      <c r="G2042" s="380"/>
    </row>
    <row r="2043" spans="1:7" s="373" customFormat="1" ht="13.8" x14ac:dyDescent="0.3">
      <c r="A2043" s="378"/>
      <c r="B2043" s="378"/>
      <c r="C2043" s="379"/>
      <c r="D2043" s="379"/>
      <c r="E2043" s="379"/>
      <c r="F2043" s="379"/>
      <c r="G2043" s="380"/>
    </row>
    <row r="2044" spans="1:7" s="373" customFormat="1" ht="13.8" x14ac:dyDescent="0.3">
      <c r="A2044" s="378"/>
      <c r="B2044" s="378"/>
      <c r="C2044" s="379"/>
      <c r="D2044" s="379"/>
      <c r="E2044" s="379"/>
      <c r="F2044" s="379"/>
      <c r="G2044" s="380"/>
    </row>
    <row r="2045" spans="1:7" s="373" customFormat="1" ht="13.8" x14ac:dyDescent="0.3">
      <c r="A2045" s="378"/>
      <c r="B2045" s="378"/>
      <c r="C2045" s="379"/>
      <c r="D2045" s="379"/>
      <c r="E2045" s="379"/>
      <c r="F2045" s="379"/>
      <c r="G2045" s="380"/>
    </row>
    <row r="2046" spans="1:7" s="373" customFormat="1" ht="13.8" x14ac:dyDescent="0.3">
      <c r="A2046" s="378"/>
      <c r="B2046" s="378"/>
      <c r="C2046" s="379"/>
      <c r="D2046" s="379"/>
      <c r="E2046" s="379"/>
      <c r="F2046" s="379"/>
      <c r="G2046" s="380"/>
    </row>
    <row r="2047" spans="1:7" s="373" customFormat="1" ht="13.8" x14ac:dyDescent="0.3">
      <c r="A2047" s="378"/>
      <c r="B2047" s="378"/>
      <c r="C2047" s="379"/>
      <c r="D2047" s="379"/>
      <c r="E2047" s="379"/>
      <c r="F2047" s="379"/>
      <c r="G2047" s="380"/>
    </row>
    <row r="2048" spans="1:7" s="373" customFormat="1" ht="13.8" x14ac:dyDescent="0.3">
      <c r="A2048" s="378"/>
      <c r="B2048" s="378"/>
      <c r="C2048" s="379"/>
      <c r="D2048" s="379"/>
      <c r="E2048" s="379"/>
      <c r="F2048" s="379"/>
      <c r="G2048" s="380"/>
    </row>
    <row r="2049" spans="1:7" s="373" customFormat="1" ht="13.8" x14ac:dyDescent="0.3">
      <c r="A2049" s="378"/>
      <c r="B2049" s="378"/>
      <c r="C2049" s="379"/>
      <c r="D2049" s="379"/>
      <c r="E2049" s="379"/>
      <c r="F2049" s="379"/>
      <c r="G2049" s="380"/>
    </row>
    <row r="2050" spans="1:7" s="373" customFormat="1" ht="13.8" x14ac:dyDescent="0.3">
      <c r="A2050" s="378"/>
      <c r="B2050" s="378"/>
      <c r="C2050" s="379"/>
      <c r="D2050" s="379"/>
      <c r="E2050" s="379"/>
      <c r="F2050" s="379"/>
      <c r="G2050" s="380"/>
    </row>
    <row r="2051" spans="1:7" s="373" customFormat="1" ht="13.8" x14ac:dyDescent="0.3">
      <c r="A2051" s="378"/>
      <c r="B2051" s="378"/>
      <c r="C2051" s="379"/>
      <c r="D2051" s="379"/>
      <c r="E2051" s="379"/>
      <c r="F2051" s="379"/>
      <c r="G2051" s="380"/>
    </row>
    <row r="2052" spans="1:7" s="373" customFormat="1" ht="13.8" x14ac:dyDescent="0.3">
      <c r="A2052" s="378"/>
      <c r="B2052" s="378"/>
      <c r="C2052" s="379"/>
      <c r="D2052" s="379"/>
      <c r="E2052" s="379"/>
      <c r="F2052" s="379"/>
      <c r="G2052" s="380"/>
    </row>
    <row r="2053" spans="1:7" s="373" customFormat="1" ht="13.8" x14ac:dyDescent="0.3">
      <c r="A2053" s="378"/>
      <c r="B2053" s="378"/>
      <c r="C2053" s="379"/>
      <c r="D2053" s="379"/>
      <c r="E2053" s="379"/>
      <c r="F2053" s="379"/>
      <c r="G2053" s="380"/>
    </row>
    <row r="2054" spans="1:7" s="373" customFormat="1" ht="13.8" x14ac:dyDescent="0.3">
      <c r="A2054" s="378"/>
      <c r="B2054" s="378"/>
      <c r="C2054" s="379"/>
      <c r="D2054" s="379"/>
      <c r="E2054" s="379"/>
      <c r="F2054" s="379"/>
      <c r="G2054" s="380"/>
    </row>
    <row r="2055" spans="1:7" s="373" customFormat="1" ht="13.8" x14ac:dyDescent="0.3">
      <c r="A2055" s="378"/>
      <c r="B2055" s="378"/>
      <c r="C2055" s="379"/>
      <c r="D2055" s="379"/>
      <c r="E2055" s="379"/>
      <c r="F2055" s="379"/>
      <c r="G2055" s="380"/>
    </row>
    <row r="2056" spans="1:7" s="373" customFormat="1" ht="13.8" x14ac:dyDescent="0.3">
      <c r="A2056" s="378"/>
      <c r="B2056" s="378"/>
      <c r="C2056" s="379"/>
      <c r="D2056" s="379"/>
      <c r="E2056" s="379"/>
      <c r="F2056" s="379"/>
      <c r="G2056" s="380"/>
    </row>
    <row r="2057" spans="1:7" s="373" customFormat="1" ht="13.8" x14ac:dyDescent="0.3">
      <c r="A2057" s="378"/>
      <c r="B2057" s="378"/>
      <c r="C2057" s="379"/>
      <c r="D2057" s="379"/>
      <c r="E2057" s="379"/>
      <c r="F2057" s="379"/>
      <c r="G2057" s="380"/>
    </row>
    <row r="2058" spans="1:7" s="373" customFormat="1" ht="13.8" x14ac:dyDescent="0.3">
      <c r="A2058" s="378"/>
      <c r="B2058" s="378"/>
      <c r="C2058" s="379"/>
      <c r="D2058" s="379"/>
      <c r="E2058" s="379"/>
      <c r="F2058" s="379"/>
      <c r="G2058" s="380"/>
    </row>
    <row r="2059" spans="1:7" s="373" customFormat="1" ht="13.8" x14ac:dyDescent="0.3">
      <c r="A2059" s="378"/>
      <c r="B2059" s="378"/>
      <c r="C2059" s="379"/>
      <c r="D2059" s="379"/>
      <c r="E2059" s="379"/>
      <c r="F2059" s="379"/>
      <c r="G2059" s="380"/>
    </row>
    <row r="2060" spans="1:7" s="373" customFormat="1" ht="13.8" x14ac:dyDescent="0.3">
      <c r="A2060" s="378"/>
      <c r="B2060" s="378"/>
      <c r="C2060" s="379"/>
      <c r="D2060" s="379"/>
      <c r="E2060" s="379"/>
      <c r="F2060" s="379"/>
      <c r="G2060" s="380"/>
    </row>
    <row r="2061" spans="1:7" s="373" customFormat="1" ht="13.8" x14ac:dyDescent="0.3">
      <c r="A2061" s="378"/>
      <c r="B2061" s="378"/>
      <c r="C2061" s="379"/>
      <c r="D2061" s="379"/>
      <c r="E2061" s="379"/>
      <c r="F2061" s="379"/>
      <c r="G2061" s="380"/>
    </row>
    <row r="2062" spans="1:7" s="373" customFormat="1" ht="13.8" x14ac:dyDescent="0.3">
      <c r="A2062" s="378"/>
      <c r="B2062" s="378"/>
      <c r="C2062" s="379"/>
      <c r="D2062" s="379"/>
      <c r="E2062" s="379"/>
      <c r="F2062" s="379"/>
      <c r="G2062" s="380"/>
    </row>
    <row r="2063" spans="1:7" s="373" customFormat="1" ht="13.8" x14ac:dyDescent="0.3">
      <c r="A2063" s="378"/>
      <c r="B2063" s="378"/>
      <c r="C2063" s="379"/>
      <c r="D2063" s="379"/>
      <c r="E2063" s="379"/>
      <c r="F2063" s="379"/>
      <c r="G2063" s="380"/>
    </row>
    <row r="2064" spans="1:7" s="373" customFormat="1" ht="13.8" x14ac:dyDescent="0.3">
      <c r="A2064" s="378"/>
      <c r="B2064" s="378"/>
      <c r="C2064" s="379"/>
      <c r="D2064" s="379"/>
      <c r="E2064" s="379"/>
      <c r="F2064" s="379"/>
      <c r="G2064" s="380"/>
    </row>
    <row r="2065" spans="1:7" s="373" customFormat="1" ht="13.8" x14ac:dyDescent="0.3">
      <c r="A2065" s="378"/>
      <c r="B2065" s="378"/>
      <c r="C2065" s="379"/>
      <c r="D2065" s="379"/>
      <c r="E2065" s="379"/>
      <c r="F2065" s="379"/>
      <c r="G2065" s="380"/>
    </row>
    <row r="2066" spans="1:7" s="373" customFormat="1" ht="13.8" x14ac:dyDescent="0.3">
      <c r="A2066" s="378"/>
      <c r="B2066" s="378"/>
      <c r="C2066" s="379"/>
      <c r="D2066" s="379"/>
      <c r="E2066" s="379"/>
      <c r="F2066" s="379"/>
      <c r="G2066" s="380"/>
    </row>
    <row r="2067" spans="1:7" s="373" customFormat="1" ht="13.8" x14ac:dyDescent="0.3">
      <c r="A2067" s="378"/>
      <c r="B2067" s="378"/>
      <c r="C2067" s="379"/>
      <c r="D2067" s="379"/>
      <c r="E2067" s="379"/>
      <c r="F2067" s="379"/>
      <c r="G2067" s="380"/>
    </row>
    <row r="2068" spans="1:7" s="373" customFormat="1" ht="13.8" x14ac:dyDescent="0.3">
      <c r="A2068" s="378"/>
      <c r="B2068" s="378"/>
      <c r="C2068" s="379"/>
      <c r="D2068" s="379"/>
      <c r="E2068" s="379"/>
      <c r="F2068" s="379"/>
      <c r="G2068" s="380"/>
    </row>
    <row r="2069" spans="1:7" s="373" customFormat="1" ht="13.8" x14ac:dyDescent="0.3">
      <c r="A2069" s="378"/>
      <c r="B2069" s="378"/>
      <c r="C2069" s="379"/>
      <c r="D2069" s="379"/>
      <c r="E2069" s="379"/>
      <c r="F2069" s="379"/>
      <c r="G2069" s="380"/>
    </row>
    <row r="2070" spans="1:7" s="373" customFormat="1" ht="13.8" x14ac:dyDescent="0.3">
      <c r="A2070" s="378"/>
      <c r="B2070" s="378"/>
      <c r="C2070" s="379"/>
      <c r="D2070" s="379"/>
      <c r="E2070" s="379"/>
      <c r="F2070" s="379"/>
      <c r="G2070" s="380"/>
    </row>
    <row r="2071" spans="1:7" s="373" customFormat="1" ht="13.8" x14ac:dyDescent="0.3">
      <c r="A2071" s="378"/>
      <c r="B2071" s="378"/>
      <c r="C2071" s="379"/>
      <c r="D2071" s="379"/>
      <c r="E2071" s="379"/>
      <c r="F2071" s="379"/>
      <c r="G2071" s="380"/>
    </row>
    <row r="2072" spans="1:7" s="373" customFormat="1" ht="13.8" x14ac:dyDescent="0.3">
      <c r="A2072" s="378"/>
      <c r="B2072" s="378"/>
      <c r="C2072" s="379"/>
      <c r="D2072" s="379"/>
      <c r="E2072" s="379"/>
      <c r="F2072" s="379"/>
      <c r="G2072" s="380"/>
    </row>
    <row r="2073" spans="1:7" s="373" customFormat="1" ht="13.8" x14ac:dyDescent="0.3">
      <c r="A2073" s="378"/>
      <c r="B2073" s="378"/>
      <c r="C2073" s="379"/>
      <c r="D2073" s="379"/>
      <c r="E2073" s="379"/>
      <c r="F2073" s="379"/>
      <c r="G2073" s="380"/>
    </row>
    <row r="2074" spans="1:7" s="373" customFormat="1" ht="13.8" x14ac:dyDescent="0.3">
      <c r="A2074" s="378"/>
      <c r="B2074" s="378"/>
      <c r="C2074" s="379"/>
      <c r="D2074" s="379"/>
      <c r="E2074" s="379"/>
      <c r="F2074" s="379"/>
      <c r="G2074" s="380"/>
    </row>
    <row r="2075" spans="1:7" s="373" customFormat="1" ht="13.8" x14ac:dyDescent="0.3">
      <c r="A2075" s="378"/>
      <c r="B2075" s="378"/>
      <c r="C2075" s="379"/>
      <c r="D2075" s="379"/>
      <c r="E2075" s="379"/>
      <c r="F2075" s="379"/>
      <c r="G2075" s="380"/>
    </row>
    <row r="2076" spans="1:7" s="373" customFormat="1" ht="13.8" x14ac:dyDescent="0.3">
      <c r="A2076" s="378"/>
      <c r="B2076" s="378"/>
      <c r="C2076" s="379"/>
      <c r="D2076" s="379"/>
      <c r="E2076" s="379"/>
      <c r="F2076" s="379"/>
      <c r="G2076" s="380"/>
    </row>
    <row r="2077" spans="1:7" s="373" customFormat="1" ht="13.8" x14ac:dyDescent="0.3">
      <c r="A2077" s="378"/>
      <c r="B2077" s="378"/>
      <c r="C2077" s="379"/>
      <c r="D2077" s="379"/>
      <c r="E2077" s="379"/>
      <c r="F2077" s="379"/>
      <c r="G2077" s="380"/>
    </row>
    <row r="2078" spans="1:7" s="373" customFormat="1" ht="13.8" x14ac:dyDescent="0.3">
      <c r="A2078" s="378"/>
      <c r="B2078" s="378"/>
      <c r="C2078" s="379"/>
      <c r="D2078" s="379"/>
      <c r="E2078" s="379"/>
      <c r="F2078" s="379"/>
      <c r="G2078" s="380"/>
    </row>
    <row r="2079" spans="1:7" s="373" customFormat="1" ht="13.8" x14ac:dyDescent="0.3">
      <c r="A2079" s="378"/>
      <c r="B2079" s="378"/>
      <c r="C2079" s="379"/>
      <c r="D2079" s="379"/>
      <c r="E2079" s="379"/>
      <c r="F2079" s="379"/>
      <c r="G2079" s="380"/>
    </row>
    <row r="2080" spans="1:7" s="373" customFormat="1" ht="13.8" x14ac:dyDescent="0.3">
      <c r="A2080" s="378"/>
      <c r="B2080" s="378"/>
      <c r="C2080" s="379"/>
      <c r="D2080" s="379"/>
      <c r="E2080" s="379"/>
      <c r="F2080" s="379"/>
      <c r="G2080" s="380"/>
    </row>
    <row r="2081" spans="1:7" s="373" customFormat="1" ht="13.8" x14ac:dyDescent="0.3">
      <c r="A2081" s="378"/>
      <c r="B2081" s="378"/>
      <c r="C2081" s="379"/>
      <c r="D2081" s="379"/>
      <c r="E2081" s="379"/>
      <c r="F2081" s="379"/>
      <c r="G2081" s="380"/>
    </row>
    <row r="2082" spans="1:7" s="373" customFormat="1" ht="13.8" x14ac:dyDescent="0.3">
      <c r="A2082" s="378"/>
      <c r="B2082" s="378"/>
      <c r="C2082" s="379"/>
      <c r="D2082" s="379"/>
      <c r="E2082" s="379"/>
      <c r="F2082" s="379"/>
      <c r="G2082" s="380"/>
    </row>
    <row r="2083" spans="1:7" s="373" customFormat="1" ht="13.8" x14ac:dyDescent="0.3">
      <c r="A2083" s="378"/>
      <c r="B2083" s="378"/>
      <c r="C2083" s="379"/>
      <c r="D2083" s="379"/>
      <c r="E2083" s="379"/>
      <c r="F2083" s="379"/>
      <c r="G2083" s="380"/>
    </row>
    <row r="2084" spans="1:7" s="373" customFormat="1" ht="13.8" x14ac:dyDescent="0.3">
      <c r="A2084" s="378"/>
      <c r="B2084" s="378"/>
      <c r="C2084" s="379"/>
      <c r="D2084" s="379"/>
      <c r="E2084" s="379"/>
      <c r="F2084" s="379"/>
      <c r="G2084" s="380"/>
    </row>
    <row r="2085" spans="1:7" s="373" customFormat="1" ht="13.8" x14ac:dyDescent="0.3">
      <c r="A2085" s="378"/>
      <c r="B2085" s="378"/>
      <c r="C2085" s="379"/>
      <c r="D2085" s="379"/>
      <c r="E2085" s="379"/>
      <c r="F2085" s="379"/>
      <c r="G2085" s="380"/>
    </row>
    <row r="2086" spans="1:7" s="373" customFormat="1" ht="13.8" x14ac:dyDescent="0.3">
      <c r="A2086" s="378"/>
      <c r="B2086" s="378"/>
      <c r="C2086" s="379"/>
      <c r="D2086" s="379"/>
      <c r="E2086" s="379"/>
      <c r="F2086" s="379"/>
      <c r="G2086" s="380"/>
    </row>
    <row r="2087" spans="1:7" s="373" customFormat="1" ht="13.8" x14ac:dyDescent="0.3">
      <c r="A2087" s="378"/>
      <c r="B2087" s="378"/>
      <c r="C2087" s="379"/>
      <c r="D2087" s="379"/>
      <c r="E2087" s="379"/>
      <c r="F2087" s="379"/>
      <c r="G2087" s="380"/>
    </row>
    <row r="2088" spans="1:7" s="373" customFormat="1" ht="13.8" x14ac:dyDescent="0.3">
      <c r="A2088" s="378"/>
      <c r="B2088" s="378"/>
      <c r="C2088" s="379"/>
      <c r="D2088" s="379"/>
      <c r="E2088" s="379"/>
      <c r="F2088" s="379"/>
      <c r="G2088" s="380"/>
    </row>
    <row r="2089" spans="1:7" s="373" customFormat="1" ht="13.8" x14ac:dyDescent="0.3">
      <c r="A2089" s="378"/>
      <c r="B2089" s="378"/>
      <c r="C2089" s="379"/>
      <c r="D2089" s="379"/>
      <c r="E2089" s="379"/>
      <c r="F2089" s="379"/>
      <c r="G2089" s="380"/>
    </row>
    <row r="2090" spans="1:7" s="373" customFormat="1" ht="13.8" x14ac:dyDescent="0.3">
      <c r="A2090" s="378"/>
      <c r="B2090" s="378"/>
      <c r="C2090" s="379"/>
      <c r="D2090" s="379"/>
      <c r="E2090" s="379"/>
      <c r="F2090" s="379"/>
      <c r="G2090" s="380"/>
    </row>
    <row r="2091" spans="1:7" s="373" customFormat="1" ht="13.8" x14ac:dyDescent="0.3">
      <c r="A2091" s="378"/>
      <c r="B2091" s="378"/>
      <c r="C2091" s="379"/>
      <c r="D2091" s="379"/>
      <c r="E2091" s="379"/>
      <c r="F2091" s="379"/>
      <c r="G2091" s="380"/>
    </row>
    <row r="2092" spans="1:7" s="373" customFormat="1" ht="13.8" x14ac:dyDescent="0.3">
      <c r="A2092" s="378"/>
      <c r="B2092" s="378"/>
      <c r="C2092" s="379"/>
      <c r="D2092" s="379"/>
      <c r="E2092" s="379"/>
      <c r="F2092" s="379"/>
      <c r="G2092" s="380"/>
    </row>
    <row r="2093" spans="1:7" s="373" customFormat="1" ht="13.8" x14ac:dyDescent="0.3">
      <c r="A2093" s="378"/>
      <c r="B2093" s="378"/>
      <c r="C2093" s="379"/>
      <c r="D2093" s="379"/>
      <c r="E2093" s="379"/>
      <c r="F2093" s="379"/>
      <c r="G2093" s="380"/>
    </row>
    <row r="2094" spans="1:7" s="373" customFormat="1" ht="13.8" x14ac:dyDescent="0.3">
      <c r="A2094" s="378"/>
      <c r="B2094" s="378"/>
      <c r="C2094" s="379"/>
      <c r="D2094" s="379"/>
      <c r="E2094" s="379"/>
      <c r="F2094" s="379"/>
      <c r="G2094" s="380"/>
    </row>
    <row r="2095" spans="1:7" s="373" customFormat="1" ht="13.8" x14ac:dyDescent="0.3">
      <c r="A2095" s="378"/>
      <c r="B2095" s="378"/>
      <c r="C2095" s="379"/>
      <c r="D2095" s="379"/>
      <c r="E2095" s="379"/>
      <c r="F2095" s="379"/>
      <c r="G2095" s="380"/>
    </row>
    <row r="2096" spans="1:7" s="373" customFormat="1" ht="13.8" x14ac:dyDescent="0.3">
      <c r="A2096" s="378"/>
      <c r="B2096" s="378"/>
      <c r="C2096" s="379"/>
      <c r="D2096" s="379"/>
      <c r="E2096" s="379"/>
      <c r="F2096" s="379"/>
      <c r="G2096" s="380"/>
    </row>
    <row r="2097" spans="1:7" s="373" customFormat="1" ht="13.8" x14ac:dyDescent="0.3">
      <c r="A2097" s="378"/>
      <c r="B2097" s="378"/>
      <c r="C2097" s="379"/>
      <c r="D2097" s="379"/>
      <c r="E2097" s="379"/>
      <c r="F2097" s="379"/>
      <c r="G2097" s="380"/>
    </row>
    <row r="2098" spans="1:7" s="373" customFormat="1" ht="13.8" x14ac:dyDescent="0.3">
      <c r="A2098" s="378"/>
      <c r="B2098" s="378"/>
      <c r="C2098" s="379"/>
      <c r="D2098" s="379"/>
      <c r="E2098" s="379"/>
      <c r="F2098" s="379"/>
      <c r="G2098" s="380"/>
    </row>
    <row r="2099" spans="1:7" s="373" customFormat="1" ht="13.8" x14ac:dyDescent="0.3">
      <c r="A2099" s="378"/>
      <c r="B2099" s="378"/>
      <c r="C2099" s="379"/>
      <c r="D2099" s="379"/>
      <c r="E2099" s="379"/>
      <c r="F2099" s="379"/>
      <c r="G2099" s="380"/>
    </row>
    <row r="2100" spans="1:7" s="373" customFormat="1" ht="13.8" x14ac:dyDescent="0.3">
      <c r="A2100" s="378"/>
      <c r="B2100" s="378"/>
      <c r="C2100" s="379"/>
      <c r="D2100" s="379"/>
      <c r="E2100" s="379"/>
      <c r="F2100" s="379"/>
      <c r="G2100" s="380"/>
    </row>
    <row r="2101" spans="1:7" s="373" customFormat="1" ht="13.8" x14ac:dyDescent="0.3">
      <c r="A2101" s="378"/>
      <c r="B2101" s="378"/>
      <c r="C2101" s="379"/>
      <c r="D2101" s="379"/>
      <c r="E2101" s="379"/>
      <c r="F2101" s="379"/>
      <c r="G2101" s="380"/>
    </row>
    <row r="2102" spans="1:7" s="373" customFormat="1" ht="13.8" x14ac:dyDescent="0.3">
      <c r="A2102" s="378"/>
      <c r="B2102" s="378"/>
      <c r="C2102" s="379"/>
      <c r="D2102" s="379"/>
      <c r="E2102" s="379"/>
      <c r="F2102" s="379"/>
      <c r="G2102" s="380"/>
    </row>
    <row r="2103" spans="1:7" s="373" customFormat="1" ht="13.8" x14ac:dyDescent="0.3">
      <c r="A2103" s="378"/>
      <c r="B2103" s="378"/>
      <c r="C2103" s="379"/>
      <c r="D2103" s="379"/>
      <c r="E2103" s="379"/>
      <c r="F2103" s="379"/>
      <c r="G2103" s="380"/>
    </row>
    <row r="2104" spans="1:7" s="373" customFormat="1" ht="13.8" x14ac:dyDescent="0.3">
      <c r="A2104" s="378"/>
      <c r="B2104" s="378"/>
      <c r="C2104" s="379"/>
      <c r="D2104" s="379"/>
      <c r="E2104" s="379"/>
      <c r="F2104" s="379"/>
      <c r="G2104" s="380"/>
    </row>
    <row r="2105" spans="1:7" s="373" customFormat="1" ht="13.8" x14ac:dyDescent="0.3">
      <c r="A2105" s="378"/>
      <c r="B2105" s="378"/>
      <c r="C2105" s="379"/>
      <c r="D2105" s="379"/>
      <c r="E2105" s="379"/>
      <c r="F2105" s="379"/>
      <c r="G2105" s="380"/>
    </row>
    <row r="2106" spans="1:7" s="373" customFormat="1" ht="13.8" x14ac:dyDescent="0.3">
      <c r="A2106" s="378"/>
      <c r="B2106" s="378"/>
      <c r="C2106" s="379"/>
      <c r="D2106" s="379"/>
      <c r="E2106" s="379"/>
      <c r="F2106" s="379"/>
      <c r="G2106" s="380"/>
    </row>
    <row r="2107" spans="1:7" s="373" customFormat="1" ht="13.8" x14ac:dyDescent="0.3">
      <c r="A2107" s="378"/>
      <c r="B2107" s="378"/>
      <c r="C2107" s="379"/>
      <c r="D2107" s="379"/>
      <c r="E2107" s="379"/>
      <c r="F2107" s="379"/>
      <c r="G2107" s="380"/>
    </row>
    <row r="2108" spans="1:7" s="373" customFormat="1" ht="13.8" x14ac:dyDescent="0.3">
      <c r="A2108" s="378"/>
      <c r="B2108" s="378"/>
      <c r="C2108" s="379"/>
      <c r="D2108" s="379"/>
      <c r="E2108" s="379"/>
      <c r="F2108" s="379"/>
      <c r="G2108" s="380"/>
    </row>
    <row r="2109" spans="1:7" s="373" customFormat="1" ht="13.8" x14ac:dyDescent="0.3">
      <c r="A2109" s="378"/>
      <c r="B2109" s="378"/>
      <c r="C2109" s="379"/>
      <c r="D2109" s="379"/>
      <c r="E2109" s="379"/>
      <c r="F2109" s="379"/>
      <c r="G2109" s="380"/>
    </row>
    <row r="2110" spans="1:7" s="373" customFormat="1" ht="13.8" x14ac:dyDescent="0.3">
      <c r="A2110" s="378"/>
      <c r="B2110" s="378"/>
      <c r="C2110" s="379"/>
      <c r="D2110" s="379"/>
      <c r="E2110" s="379"/>
      <c r="F2110" s="379"/>
      <c r="G2110" s="380"/>
    </row>
    <row r="2111" spans="1:7" s="373" customFormat="1" ht="13.8" x14ac:dyDescent="0.3">
      <c r="A2111" s="378"/>
      <c r="B2111" s="378"/>
      <c r="C2111" s="379"/>
      <c r="D2111" s="379"/>
      <c r="E2111" s="379"/>
      <c r="F2111" s="379"/>
      <c r="G2111" s="380"/>
    </row>
    <row r="2112" spans="1:7" s="373" customFormat="1" ht="13.8" x14ac:dyDescent="0.3">
      <c r="A2112" s="378"/>
      <c r="B2112" s="378"/>
      <c r="C2112" s="379"/>
      <c r="D2112" s="379"/>
      <c r="E2112" s="379"/>
      <c r="F2112" s="379"/>
      <c r="G2112" s="380"/>
    </row>
    <row r="2113" spans="1:7" s="373" customFormat="1" ht="13.8" x14ac:dyDescent="0.3">
      <c r="A2113" s="378"/>
      <c r="B2113" s="378"/>
      <c r="C2113" s="379"/>
      <c r="D2113" s="379"/>
      <c r="E2113" s="379"/>
      <c r="F2113" s="379"/>
      <c r="G2113" s="380"/>
    </row>
    <row r="2114" spans="1:7" s="373" customFormat="1" ht="13.8" x14ac:dyDescent="0.3">
      <c r="A2114" s="378"/>
      <c r="B2114" s="378"/>
      <c r="C2114" s="379"/>
      <c r="D2114" s="379"/>
      <c r="E2114" s="379"/>
      <c r="F2114" s="379"/>
      <c r="G2114" s="380"/>
    </row>
    <row r="2115" spans="1:7" s="373" customFormat="1" ht="13.8" x14ac:dyDescent="0.3">
      <c r="A2115" s="378"/>
      <c r="B2115" s="378"/>
      <c r="C2115" s="379"/>
      <c r="D2115" s="379"/>
      <c r="E2115" s="379"/>
      <c r="F2115" s="379"/>
      <c r="G2115" s="380"/>
    </row>
    <row r="2116" spans="1:7" s="373" customFormat="1" ht="13.8" x14ac:dyDescent="0.3">
      <c r="A2116" s="378"/>
      <c r="B2116" s="378"/>
      <c r="C2116" s="379"/>
      <c r="D2116" s="379"/>
      <c r="E2116" s="379"/>
      <c r="F2116" s="379"/>
      <c r="G2116" s="380"/>
    </row>
    <row r="2117" spans="1:7" s="373" customFormat="1" ht="13.8" x14ac:dyDescent="0.3">
      <c r="A2117" s="378"/>
      <c r="B2117" s="378"/>
      <c r="C2117" s="379"/>
      <c r="D2117" s="379"/>
      <c r="E2117" s="379"/>
      <c r="F2117" s="379"/>
      <c r="G2117" s="380"/>
    </row>
    <row r="2118" spans="1:7" s="373" customFormat="1" ht="13.8" x14ac:dyDescent="0.3">
      <c r="A2118" s="378"/>
      <c r="B2118" s="378"/>
      <c r="C2118" s="379"/>
      <c r="D2118" s="379"/>
      <c r="E2118" s="379"/>
      <c r="F2118" s="379"/>
      <c r="G2118" s="380"/>
    </row>
    <row r="2119" spans="1:7" s="373" customFormat="1" ht="13.8" x14ac:dyDescent="0.3">
      <c r="A2119" s="378"/>
      <c r="B2119" s="378"/>
      <c r="C2119" s="379"/>
      <c r="D2119" s="379"/>
      <c r="E2119" s="379"/>
      <c r="F2119" s="379"/>
      <c r="G2119" s="380"/>
    </row>
    <row r="2120" spans="1:7" s="373" customFormat="1" ht="13.8" x14ac:dyDescent="0.3">
      <c r="A2120" s="378"/>
      <c r="B2120" s="378"/>
      <c r="C2120" s="379"/>
      <c r="D2120" s="379"/>
      <c r="E2120" s="379"/>
      <c r="F2120" s="379"/>
      <c r="G2120" s="380"/>
    </row>
    <row r="2121" spans="1:7" s="373" customFormat="1" ht="13.8" x14ac:dyDescent="0.3">
      <c r="A2121" s="378"/>
      <c r="B2121" s="378"/>
      <c r="C2121" s="379"/>
      <c r="D2121" s="379"/>
      <c r="E2121" s="379"/>
      <c r="F2121" s="379"/>
      <c r="G2121" s="380"/>
    </row>
    <row r="2122" spans="1:7" s="373" customFormat="1" ht="13.8" x14ac:dyDescent="0.3">
      <c r="A2122" s="378"/>
      <c r="B2122" s="378"/>
      <c r="C2122" s="379"/>
      <c r="D2122" s="379"/>
      <c r="E2122" s="379"/>
      <c r="F2122" s="379"/>
      <c r="G2122" s="380"/>
    </row>
    <row r="2123" spans="1:7" s="373" customFormat="1" ht="13.8" x14ac:dyDescent="0.3">
      <c r="A2123" s="378"/>
      <c r="B2123" s="378"/>
      <c r="C2123" s="379"/>
      <c r="D2123" s="379"/>
      <c r="E2123" s="379"/>
      <c r="F2123" s="379"/>
      <c r="G2123" s="380"/>
    </row>
    <row r="2124" spans="1:7" s="373" customFormat="1" ht="13.8" x14ac:dyDescent="0.3">
      <c r="A2124" s="378"/>
      <c r="B2124" s="378"/>
      <c r="C2124" s="379"/>
      <c r="D2124" s="379"/>
      <c r="E2124" s="379"/>
      <c r="F2124" s="379"/>
      <c r="G2124" s="380"/>
    </row>
    <row r="2125" spans="1:7" s="373" customFormat="1" ht="13.8" x14ac:dyDescent="0.3">
      <c r="A2125" s="378"/>
      <c r="B2125" s="378"/>
      <c r="C2125" s="379"/>
      <c r="D2125" s="379"/>
      <c r="E2125" s="379"/>
      <c r="F2125" s="379"/>
      <c r="G2125" s="380"/>
    </row>
    <row r="2126" spans="1:7" s="373" customFormat="1" ht="13.8" x14ac:dyDescent="0.3">
      <c r="A2126" s="378"/>
      <c r="B2126" s="378"/>
      <c r="C2126" s="379"/>
      <c r="D2126" s="379"/>
      <c r="E2126" s="379"/>
      <c r="F2126" s="379"/>
      <c r="G2126" s="380"/>
    </row>
    <row r="2127" spans="1:7" s="373" customFormat="1" ht="13.8" x14ac:dyDescent="0.3">
      <c r="A2127" s="378"/>
      <c r="B2127" s="378"/>
      <c r="C2127" s="379"/>
      <c r="D2127" s="379"/>
      <c r="E2127" s="379"/>
      <c r="F2127" s="379"/>
      <c r="G2127" s="380"/>
    </row>
    <row r="2128" spans="1:7" s="373" customFormat="1" ht="13.8" x14ac:dyDescent="0.3">
      <c r="A2128" s="378"/>
      <c r="B2128" s="378"/>
      <c r="C2128" s="379"/>
      <c r="D2128" s="379"/>
      <c r="E2128" s="379"/>
      <c r="F2128" s="379"/>
      <c r="G2128" s="380"/>
    </row>
    <row r="2129" spans="1:7" s="373" customFormat="1" ht="13.8" x14ac:dyDescent="0.3">
      <c r="A2129" s="378"/>
      <c r="B2129" s="378"/>
      <c r="C2129" s="379"/>
      <c r="D2129" s="379"/>
      <c r="E2129" s="379"/>
      <c r="F2129" s="379"/>
      <c r="G2129" s="380"/>
    </row>
    <row r="2130" spans="1:7" s="373" customFormat="1" ht="13.8" x14ac:dyDescent="0.3">
      <c r="A2130" s="378"/>
      <c r="B2130" s="378"/>
      <c r="C2130" s="379"/>
      <c r="D2130" s="379"/>
      <c r="E2130" s="379"/>
      <c r="F2130" s="379"/>
      <c r="G2130" s="380"/>
    </row>
    <row r="2131" spans="1:7" s="373" customFormat="1" ht="13.8" x14ac:dyDescent="0.3">
      <c r="A2131" s="378"/>
      <c r="B2131" s="378"/>
      <c r="C2131" s="379"/>
      <c r="D2131" s="379"/>
      <c r="E2131" s="379"/>
      <c r="F2131" s="379"/>
      <c r="G2131" s="380"/>
    </row>
    <row r="2132" spans="1:7" s="373" customFormat="1" ht="13.8" x14ac:dyDescent="0.3">
      <c r="A2132" s="378"/>
      <c r="B2132" s="378"/>
      <c r="C2132" s="379"/>
      <c r="D2132" s="379"/>
      <c r="E2132" s="379"/>
      <c r="F2132" s="379"/>
      <c r="G2132" s="380"/>
    </row>
    <row r="2133" spans="1:7" s="373" customFormat="1" ht="13.8" x14ac:dyDescent="0.3">
      <c r="A2133" s="378"/>
      <c r="B2133" s="378"/>
      <c r="C2133" s="379"/>
      <c r="D2133" s="379"/>
      <c r="E2133" s="379"/>
      <c r="F2133" s="379"/>
      <c r="G2133" s="380"/>
    </row>
    <row r="2134" spans="1:7" s="373" customFormat="1" ht="13.8" x14ac:dyDescent="0.3">
      <c r="A2134" s="378"/>
      <c r="B2134" s="378"/>
      <c r="C2134" s="379"/>
      <c r="D2134" s="379"/>
      <c r="E2134" s="379"/>
      <c r="F2134" s="379"/>
      <c r="G2134" s="380"/>
    </row>
    <row r="2135" spans="1:7" s="373" customFormat="1" ht="13.8" x14ac:dyDescent="0.3">
      <c r="A2135" s="378"/>
      <c r="B2135" s="378"/>
      <c r="C2135" s="379"/>
      <c r="D2135" s="379"/>
      <c r="E2135" s="379"/>
      <c r="F2135" s="379"/>
      <c r="G2135" s="380"/>
    </row>
    <row r="2136" spans="1:7" s="373" customFormat="1" ht="13.8" x14ac:dyDescent="0.3">
      <c r="A2136" s="378"/>
      <c r="B2136" s="378"/>
      <c r="C2136" s="379"/>
      <c r="D2136" s="379"/>
      <c r="E2136" s="379"/>
      <c r="F2136" s="379"/>
      <c r="G2136" s="380"/>
    </row>
    <row r="2137" spans="1:7" s="373" customFormat="1" ht="13.8" x14ac:dyDescent="0.3">
      <c r="A2137" s="378"/>
      <c r="B2137" s="378"/>
      <c r="C2137" s="379"/>
      <c r="D2137" s="379"/>
      <c r="E2137" s="379"/>
      <c r="F2137" s="379"/>
      <c r="G2137" s="380"/>
    </row>
    <row r="2138" spans="1:7" s="373" customFormat="1" ht="13.8" x14ac:dyDescent="0.3">
      <c r="A2138" s="378"/>
      <c r="B2138" s="378"/>
      <c r="C2138" s="379"/>
      <c r="D2138" s="379"/>
      <c r="E2138" s="379"/>
      <c r="F2138" s="379"/>
      <c r="G2138" s="380"/>
    </row>
    <row r="2139" spans="1:7" s="373" customFormat="1" ht="13.8" x14ac:dyDescent="0.3">
      <c r="A2139" s="378"/>
      <c r="B2139" s="378"/>
      <c r="C2139" s="379"/>
      <c r="D2139" s="379"/>
      <c r="E2139" s="379"/>
      <c r="F2139" s="379"/>
      <c r="G2139" s="380"/>
    </row>
    <row r="2140" spans="1:7" s="373" customFormat="1" ht="13.8" x14ac:dyDescent="0.3">
      <c r="A2140" s="378"/>
      <c r="B2140" s="378"/>
      <c r="C2140" s="379"/>
      <c r="D2140" s="379"/>
      <c r="E2140" s="379"/>
      <c r="F2140" s="379"/>
      <c r="G2140" s="380"/>
    </row>
    <row r="2141" spans="1:7" s="373" customFormat="1" ht="13.8" x14ac:dyDescent="0.3">
      <c r="A2141" s="378"/>
      <c r="B2141" s="378"/>
      <c r="C2141" s="379"/>
      <c r="D2141" s="379"/>
      <c r="E2141" s="379"/>
      <c r="F2141" s="379"/>
      <c r="G2141" s="380"/>
    </row>
    <row r="2142" spans="1:7" s="373" customFormat="1" ht="13.8" x14ac:dyDescent="0.3">
      <c r="A2142" s="378"/>
      <c r="B2142" s="378"/>
      <c r="C2142" s="379"/>
      <c r="D2142" s="379"/>
      <c r="E2142" s="379"/>
      <c r="F2142" s="379"/>
      <c r="G2142" s="380"/>
    </row>
    <row r="2143" spans="1:7" s="373" customFormat="1" ht="13.8" x14ac:dyDescent="0.3">
      <c r="A2143" s="378"/>
      <c r="B2143" s="378"/>
      <c r="C2143" s="379"/>
      <c r="D2143" s="379"/>
      <c r="E2143" s="379"/>
      <c r="F2143" s="379"/>
      <c r="G2143" s="380"/>
    </row>
    <row r="2144" spans="1:7" s="373" customFormat="1" ht="13.8" x14ac:dyDescent="0.3">
      <c r="A2144" s="378"/>
      <c r="B2144" s="378"/>
      <c r="C2144" s="379"/>
      <c r="D2144" s="379"/>
      <c r="E2144" s="379"/>
      <c r="F2144" s="379"/>
      <c r="G2144" s="380"/>
    </row>
    <row r="2145" spans="1:7" s="373" customFormat="1" ht="13.8" x14ac:dyDescent="0.3">
      <c r="A2145" s="378"/>
      <c r="B2145" s="378"/>
      <c r="C2145" s="379"/>
      <c r="D2145" s="379"/>
      <c r="E2145" s="379"/>
      <c r="F2145" s="379"/>
      <c r="G2145" s="380"/>
    </row>
    <row r="2146" spans="1:7" s="373" customFormat="1" ht="13.8" x14ac:dyDescent="0.3">
      <c r="A2146" s="378"/>
      <c r="B2146" s="378"/>
      <c r="C2146" s="379"/>
      <c r="D2146" s="379"/>
      <c r="E2146" s="379"/>
      <c r="F2146" s="379"/>
      <c r="G2146" s="380"/>
    </row>
    <row r="2147" spans="1:7" s="373" customFormat="1" ht="13.8" x14ac:dyDescent="0.3">
      <c r="A2147" s="378"/>
      <c r="B2147" s="378"/>
      <c r="C2147" s="379"/>
      <c r="D2147" s="379"/>
      <c r="E2147" s="379"/>
      <c r="F2147" s="379"/>
      <c r="G2147" s="380"/>
    </row>
    <row r="2148" spans="1:7" s="373" customFormat="1" ht="13.8" x14ac:dyDescent="0.3">
      <c r="A2148" s="378"/>
      <c r="B2148" s="378"/>
      <c r="C2148" s="379"/>
      <c r="D2148" s="379"/>
      <c r="E2148" s="379"/>
      <c r="F2148" s="379"/>
      <c r="G2148" s="380"/>
    </row>
    <row r="2149" spans="1:7" s="373" customFormat="1" ht="13.8" x14ac:dyDescent="0.3">
      <c r="A2149" s="378"/>
      <c r="B2149" s="378"/>
      <c r="C2149" s="379"/>
      <c r="D2149" s="379"/>
      <c r="E2149" s="379"/>
      <c r="F2149" s="379"/>
      <c r="G2149" s="380"/>
    </row>
    <row r="2150" spans="1:7" s="373" customFormat="1" ht="13.8" x14ac:dyDescent="0.3">
      <c r="A2150" s="378"/>
      <c r="B2150" s="378"/>
      <c r="C2150" s="379"/>
      <c r="D2150" s="379"/>
      <c r="E2150" s="379"/>
      <c r="F2150" s="379"/>
      <c r="G2150" s="380"/>
    </row>
    <row r="2151" spans="1:7" s="373" customFormat="1" ht="13.8" x14ac:dyDescent="0.3">
      <c r="A2151" s="378"/>
      <c r="B2151" s="378"/>
      <c r="C2151" s="379"/>
      <c r="D2151" s="379"/>
      <c r="E2151" s="379"/>
      <c r="F2151" s="379"/>
      <c r="G2151" s="380"/>
    </row>
    <row r="2152" spans="1:7" s="373" customFormat="1" ht="13.8" x14ac:dyDescent="0.3">
      <c r="A2152" s="378"/>
      <c r="B2152" s="378"/>
      <c r="C2152" s="379"/>
      <c r="D2152" s="379"/>
      <c r="E2152" s="379"/>
      <c r="F2152" s="379"/>
      <c r="G2152" s="380"/>
    </row>
    <row r="2153" spans="1:7" s="373" customFormat="1" ht="13.8" x14ac:dyDescent="0.3">
      <c r="A2153" s="378"/>
      <c r="B2153" s="378"/>
      <c r="C2153" s="379"/>
      <c r="D2153" s="379"/>
      <c r="E2153" s="379"/>
      <c r="F2153" s="379"/>
      <c r="G2153" s="380"/>
    </row>
    <row r="2154" spans="1:7" s="373" customFormat="1" ht="13.8" x14ac:dyDescent="0.3">
      <c r="A2154" s="378"/>
      <c r="B2154" s="378"/>
      <c r="C2154" s="379"/>
      <c r="D2154" s="379"/>
      <c r="E2154" s="379"/>
      <c r="F2154" s="379"/>
      <c r="G2154" s="380"/>
    </row>
    <row r="2155" spans="1:7" s="373" customFormat="1" ht="13.8" x14ac:dyDescent="0.3">
      <c r="A2155" s="378"/>
      <c r="B2155" s="378"/>
      <c r="C2155" s="379"/>
      <c r="D2155" s="379"/>
      <c r="E2155" s="379"/>
      <c r="F2155" s="379"/>
      <c r="G2155" s="380"/>
    </row>
    <row r="2156" spans="1:7" s="373" customFormat="1" ht="13.8" x14ac:dyDescent="0.3">
      <c r="A2156" s="378"/>
      <c r="B2156" s="378"/>
      <c r="C2156" s="379"/>
      <c r="D2156" s="379"/>
      <c r="E2156" s="379"/>
      <c r="F2156" s="379"/>
      <c r="G2156" s="380"/>
    </row>
    <row r="2157" spans="1:7" s="373" customFormat="1" ht="13.8" x14ac:dyDescent="0.3">
      <c r="A2157" s="378"/>
      <c r="B2157" s="378"/>
      <c r="C2157" s="379"/>
      <c r="D2157" s="379"/>
      <c r="E2157" s="379"/>
      <c r="F2157" s="379"/>
      <c r="G2157" s="380"/>
    </row>
    <row r="2158" spans="1:7" s="373" customFormat="1" ht="13.8" x14ac:dyDescent="0.3">
      <c r="A2158" s="378"/>
      <c r="B2158" s="378"/>
      <c r="C2158" s="379"/>
      <c r="D2158" s="379"/>
      <c r="E2158" s="379"/>
      <c r="F2158" s="379"/>
      <c r="G2158" s="380"/>
    </row>
    <row r="2159" spans="1:7" s="373" customFormat="1" ht="13.8" x14ac:dyDescent="0.3">
      <c r="A2159" s="378"/>
      <c r="B2159" s="378"/>
      <c r="C2159" s="379"/>
      <c r="D2159" s="379"/>
      <c r="E2159" s="379"/>
      <c r="F2159" s="379"/>
      <c r="G2159" s="380"/>
    </row>
    <row r="2160" spans="1:7" s="373" customFormat="1" ht="13.8" x14ac:dyDescent="0.3">
      <c r="A2160" s="378"/>
      <c r="B2160" s="378"/>
      <c r="C2160" s="379"/>
      <c r="D2160" s="379"/>
      <c r="E2160" s="379"/>
      <c r="F2160" s="379"/>
      <c r="G2160" s="380"/>
    </row>
    <row r="2161" spans="1:7" s="373" customFormat="1" ht="13.8" x14ac:dyDescent="0.3">
      <c r="A2161" s="378"/>
      <c r="B2161" s="378"/>
      <c r="C2161" s="379"/>
      <c r="D2161" s="379"/>
      <c r="E2161" s="379"/>
      <c r="F2161" s="379"/>
      <c r="G2161" s="380"/>
    </row>
    <row r="2162" spans="1:7" s="373" customFormat="1" ht="13.8" x14ac:dyDescent="0.3">
      <c r="A2162" s="378"/>
      <c r="B2162" s="378"/>
      <c r="C2162" s="379"/>
      <c r="D2162" s="379"/>
      <c r="E2162" s="379"/>
      <c r="F2162" s="379"/>
      <c r="G2162" s="380"/>
    </row>
    <row r="2163" spans="1:7" s="373" customFormat="1" ht="13.8" x14ac:dyDescent="0.3">
      <c r="A2163" s="378"/>
      <c r="B2163" s="378"/>
      <c r="C2163" s="379"/>
      <c r="D2163" s="379"/>
      <c r="E2163" s="379"/>
      <c r="F2163" s="379"/>
      <c r="G2163" s="380"/>
    </row>
    <row r="2164" spans="1:7" s="373" customFormat="1" ht="13.8" x14ac:dyDescent="0.3">
      <c r="A2164" s="378"/>
      <c r="B2164" s="378"/>
      <c r="C2164" s="379"/>
      <c r="D2164" s="379"/>
      <c r="E2164" s="379"/>
      <c r="F2164" s="379"/>
      <c r="G2164" s="380"/>
    </row>
    <row r="2165" spans="1:7" s="373" customFormat="1" ht="13.8" x14ac:dyDescent="0.3">
      <c r="A2165" s="378"/>
      <c r="B2165" s="378"/>
      <c r="C2165" s="379"/>
      <c r="D2165" s="379"/>
      <c r="E2165" s="379"/>
      <c r="F2165" s="379"/>
      <c r="G2165" s="380"/>
    </row>
    <row r="2166" spans="1:7" s="373" customFormat="1" ht="13.8" x14ac:dyDescent="0.3">
      <c r="A2166" s="378"/>
      <c r="B2166" s="378"/>
      <c r="C2166" s="379"/>
      <c r="D2166" s="379"/>
      <c r="E2166" s="379"/>
      <c r="F2166" s="379"/>
      <c r="G2166" s="380"/>
    </row>
    <row r="2167" spans="1:7" s="373" customFormat="1" ht="13.8" x14ac:dyDescent="0.3">
      <c r="A2167" s="378"/>
      <c r="B2167" s="378"/>
      <c r="C2167" s="379"/>
      <c r="D2167" s="379"/>
      <c r="E2167" s="379"/>
      <c r="F2167" s="379"/>
      <c r="G2167" s="380"/>
    </row>
    <row r="2168" spans="1:7" s="373" customFormat="1" ht="13.8" x14ac:dyDescent="0.3">
      <c r="A2168" s="378"/>
      <c r="B2168" s="378"/>
      <c r="C2168" s="379"/>
      <c r="D2168" s="379"/>
      <c r="E2168" s="379"/>
      <c r="F2168" s="379"/>
      <c r="G2168" s="380"/>
    </row>
    <row r="2169" spans="1:7" s="373" customFormat="1" ht="13.8" x14ac:dyDescent="0.3">
      <c r="A2169" s="378"/>
      <c r="B2169" s="378"/>
      <c r="C2169" s="379"/>
      <c r="D2169" s="379"/>
      <c r="E2169" s="379"/>
      <c r="F2169" s="379"/>
      <c r="G2169" s="380"/>
    </row>
    <row r="2170" spans="1:7" s="373" customFormat="1" ht="13.8" x14ac:dyDescent="0.3">
      <c r="A2170" s="378"/>
      <c r="B2170" s="378"/>
      <c r="C2170" s="379"/>
      <c r="D2170" s="379"/>
      <c r="E2170" s="379"/>
      <c r="F2170" s="379"/>
      <c r="G2170" s="380"/>
    </row>
    <row r="2171" spans="1:7" s="373" customFormat="1" ht="13.8" x14ac:dyDescent="0.3">
      <c r="A2171" s="378"/>
      <c r="B2171" s="378"/>
      <c r="C2171" s="379"/>
      <c r="D2171" s="379"/>
      <c r="E2171" s="379"/>
      <c r="F2171" s="379"/>
      <c r="G2171" s="380"/>
    </row>
    <row r="2172" spans="1:7" s="373" customFormat="1" ht="13.8" x14ac:dyDescent="0.3">
      <c r="A2172" s="378"/>
      <c r="B2172" s="378"/>
      <c r="C2172" s="379"/>
      <c r="D2172" s="379"/>
      <c r="E2172" s="379"/>
      <c r="F2172" s="379"/>
      <c r="G2172" s="380"/>
    </row>
    <row r="2173" spans="1:7" s="373" customFormat="1" ht="13.8" x14ac:dyDescent="0.3">
      <c r="A2173" s="378"/>
      <c r="B2173" s="378"/>
      <c r="C2173" s="379"/>
      <c r="D2173" s="379"/>
      <c r="E2173" s="379"/>
      <c r="F2173" s="379"/>
      <c r="G2173" s="380"/>
    </row>
    <row r="2174" spans="1:7" s="373" customFormat="1" ht="13.8" x14ac:dyDescent="0.3">
      <c r="A2174" s="378"/>
      <c r="B2174" s="378"/>
      <c r="C2174" s="379"/>
      <c r="D2174" s="379"/>
      <c r="E2174" s="379"/>
      <c r="F2174" s="379"/>
      <c r="G2174" s="380"/>
    </row>
    <row r="2175" spans="1:7" s="373" customFormat="1" ht="13.8" x14ac:dyDescent="0.3">
      <c r="A2175" s="378"/>
      <c r="B2175" s="378"/>
      <c r="C2175" s="379"/>
      <c r="D2175" s="379"/>
      <c r="E2175" s="379"/>
      <c r="F2175" s="379"/>
      <c r="G2175" s="380"/>
    </row>
    <row r="2176" spans="1:7" s="373" customFormat="1" ht="13.8" x14ac:dyDescent="0.3">
      <c r="A2176" s="378"/>
      <c r="B2176" s="378"/>
      <c r="C2176" s="379"/>
      <c r="D2176" s="379"/>
      <c r="E2176" s="379"/>
      <c r="F2176" s="379"/>
      <c r="G2176" s="380"/>
    </row>
    <row r="2177" spans="1:7" s="373" customFormat="1" ht="13.8" x14ac:dyDescent="0.3">
      <c r="A2177" s="378"/>
      <c r="B2177" s="378"/>
      <c r="C2177" s="379"/>
      <c r="D2177" s="379"/>
      <c r="E2177" s="379"/>
      <c r="F2177" s="379"/>
      <c r="G2177" s="380"/>
    </row>
    <row r="2178" spans="1:7" s="373" customFormat="1" ht="13.8" x14ac:dyDescent="0.3">
      <c r="A2178" s="378"/>
      <c r="B2178" s="378"/>
      <c r="C2178" s="379"/>
      <c r="D2178" s="379"/>
      <c r="E2178" s="379"/>
      <c r="F2178" s="379"/>
      <c r="G2178" s="380"/>
    </row>
    <row r="2179" spans="1:7" s="373" customFormat="1" ht="13.8" x14ac:dyDescent="0.3">
      <c r="A2179" s="378"/>
      <c r="B2179" s="378"/>
      <c r="C2179" s="379"/>
      <c r="D2179" s="379"/>
      <c r="E2179" s="379"/>
      <c r="F2179" s="379"/>
      <c r="G2179" s="380"/>
    </row>
    <row r="2180" spans="1:7" s="373" customFormat="1" ht="13.8" x14ac:dyDescent="0.3">
      <c r="A2180" s="378"/>
      <c r="B2180" s="378"/>
      <c r="C2180" s="379"/>
      <c r="D2180" s="379"/>
      <c r="E2180" s="379"/>
      <c r="F2180" s="379"/>
      <c r="G2180" s="380"/>
    </row>
    <row r="2181" spans="1:7" s="373" customFormat="1" ht="13.8" x14ac:dyDescent="0.3">
      <c r="A2181" s="378"/>
      <c r="B2181" s="378"/>
      <c r="C2181" s="379"/>
      <c r="D2181" s="379"/>
      <c r="E2181" s="379"/>
      <c r="F2181" s="379"/>
      <c r="G2181" s="380"/>
    </row>
    <row r="2182" spans="1:7" s="373" customFormat="1" ht="13.8" x14ac:dyDescent="0.3">
      <c r="A2182" s="378"/>
      <c r="B2182" s="378"/>
      <c r="C2182" s="379"/>
      <c r="D2182" s="379"/>
      <c r="E2182" s="379"/>
      <c r="F2182" s="379"/>
      <c r="G2182" s="380"/>
    </row>
    <row r="2183" spans="1:7" s="373" customFormat="1" ht="13.8" x14ac:dyDescent="0.3">
      <c r="A2183" s="378"/>
      <c r="B2183" s="378"/>
      <c r="C2183" s="379"/>
      <c r="D2183" s="379"/>
      <c r="E2183" s="379"/>
      <c r="F2183" s="379"/>
      <c r="G2183" s="380"/>
    </row>
    <row r="2184" spans="1:7" s="373" customFormat="1" ht="13.8" x14ac:dyDescent="0.3">
      <c r="A2184" s="378"/>
      <c r="B2184" s="378"/>
      <c r="C2184" s="379"/>
      <c r="D2184" s="379"/>
      <c r="E2184" s="379"/>
      <c r="F2184" s="379"/>
      <c r="G2184" s="380"/>
    </row>
    <row r="2185" spans="1:7" s="373" customFormat="1" ht="13.8" x14ac:dyDescent="0.3">
      <c r="A2185" s="378"/>
      <c r="B2185" s="378"/>
      <c r="C2185" s="379"/>
      <c r="D2185" s="379"/>
      <c r="E2185" s="379"/>
      <c r="F2185" s="379"/>
      <c r="G2185" s="380"/>
    </row>
    <row r="2186" spans="1:7" s="373" customFormat="1" ht="13.8" x14ac:dyDescent="0.3">
      <c r="A2186" s="378"/>
      <c r="B2186" s="378"/>
      <c r="C2186" s="379"/>
      <c r="D2186" s="379"/>
      <c r="E2186" s="379"/>
      <c r="F2186" s="379"/>
      <c r="G2186" s="380"/>
    </row>
    <row r="2187" spans="1:7" s="373" customFormat="1" ht="13.8" x14ac:dyDescent="0.3">
      <c r="A2187" s="378"/>
      <c r="B2187" s="378"/>
      <c r="C2187" s="379"/>
      <c r="D2187" s="379"/>
      <c r="E2187" s="379"/>
      <c r="F2187" s="379"/>
      <c r="G2187" s="380"/>
    </row>
    <row r="2188" spans="1:7" s="373" customFormat="1" ht="13.8" x14ac:dyDescent="0.3">
      <c r="A2188" s="378"/>
      <c r="B2188" s="378"/>
      <c r="C2188" s="379"/>
      <c r="D2188" s="379"/>
      <c r="E2188" s="379"/>
      <c r="F2188" s="379"/>
      <c r="G2188" s="380"/>
    </row>
    <row r="2189" spans="1:7" s="373" customFormat="1" ht="13.8" x14ac:dyDescent="0.3">
      <c r="A2189" s="378"/>
      <c r="B2189" s="378"/>
      <c r="C2189" s="379"/>
      <c r="D2189" s="379"/>
      <c r="E2189" s="379"/>
      <c r="F2189" s="379"/>
      <c r="G2189" s="380"/>
    </row>
    <row r="2190" spans="1:7" s="373" customFormat="1" ht="13.8" x14ac:dyDescent="0.3">
      <c r="A2190" s="378"/>
      <c r="B2190" s="378"/>
      <c r="C2190" s="379"/>
      <c r="D2190" s="379"/>
      <c r="E2190" s="379"/>
      <c r="F2190" s="379"/>
      <c r="G2190" s="380"/>
    </row>
    <row r="2191" spans="1:7" s="373" customFormat="1" ht="13.8" x14ac:dyDescent="0.3">
      <c r="A2191" s="378"/>
      <c r="B2191" s="378"/>
      <c r="C2191" s="379"/>
      <c r="D2191" s="379"/>
      <c r="E2191" s="379"/>
      <c r="F2191" s="379"/>
      <c r="G2191" s="380"/>
    </row>
    <row r="2192" spans="1:7" s="373" customFormat="1" ht="13.8" x14ac:dyDescent="0.3">
      <c r="A2192" s="378"/>
      <c r="B2192" s="378"/>
      <c r="C2192" s="379"/>
      <c r="D2192" s="379"/>
      <c r="E2192" s="379"/>
      <c r="F2192" s="379"/>
      <c r="G2192" s="380"/>
    </row>
    <row r="2193" spans="1:7" s="373" customFormat="1" ht="13.8" x14ac:dyDescent="0.3">
      <c r="A2193" s="378"/>
      <c r="B2193" s="378"/>
      <c r="C2193" s="379"/>
      <c r="D2193" s="379"/>
      <c r="E2193" s="379"/>
      <c r="F2193" s="379"/>
      <c r="G2193" s="380"/>
    </row>
    <row r="2194" spans="1:7" s="373" customFormat="1" ht="13.8" x14ac:dyDescent="0.3">
      <c r="A2194" s="378"/>
      <c r="B2194" s="378"/>
      <c r="C2194" s="379"/>
      <c r="D2194" s="379"/>
      <c r="E2194" s="379"/>
      <c r="F2194" s="379"/>
      <c r="G2194" s="380"/>
    </row>
    <row r="2195" spans="1:7" s="373" customFormat="1" ht="13.8" x14ac:dyDescent="0.3">
      <c r="A2195" s="378"/>
      <c r="B2195" s="378"/>
      <c r="C2195" s="379"/>
      <c r="D2195" s="379"/>
      <c r="E2195" s="379"/>
      <c r="F2195" s="379"/>
      <c r="G2195" s="380"/>
    </row>
    <row r="2196" spans="1:7" s="373" customFormat="1" ht="13.8" x14ac:dyDescent="0.3">
      <c r="A2196" s="378"/>
      <c r="B2196" s="378"/>
      <c r="C2196" s="379"/>
      <c r="D2196" s="379"/>
      <c r="E2196" s="379"/>
      <c r="F2196" s="379"/>
      <c r="G2196" s="380"/>
    </row>
    <row r="2197" spans="1:7" s="373" customFormat="1" ht="13.8" x14ac:dyDescent="0.3">
      <c r="A2197" s="378"/>
      <c r="B2197" s="378"/>
      <c r="C2197" s="379"/>
      <c r="D2197" s="379"/>
      <c r="E2197" s="379"/>
      <c r="F2197" s="379"/>
      <c r="G2197" s="380"/>
    </row>
    <row r="2198" spans="1:7" s="373" customFormat="1" ht="13.8" x14ac:dyDescent="0.3">
      <c r="A2198" s="378"/>
      <c r="B2198" s="378"/>
      <c r="C2198" s="379"/>
      <c r="D2198" s="379"/>
      <c r="E2198" s="379"/>
      <c r="F2198" s="379"/>
      <c r="G2198" s="380"/>
    </row>
    <row r="2199" spans="1:7" s="373" customFormat="1" ht="13.8" x14ac:dyDescent="0.3">
      <c r="A2199" s="378"/>
      <c r="B2199" s="378"/>
      <c r="C2199" s="379"/>
      <c r="D2199" s="379"/>
      <c r="E2199" s="379"/>
      <c r="F2199" s="379"/>
      <c r="G2199" s="380"/>
    </row>
    <row r="2200" spans="1:7" s="373" customFormat="1" ht="13.8" x14ac:dyDescent="0.3">
      <c r="A2200" s="378"/>
      <c r="B2200" s="378"/>
      <c r="C2200" s="379"/>
      <c r="D2200" s="379"/>
      <c r="E2200" s="379"/>
      <c r="F2200" s="379"/>
      <c r="G2200" s="380"/>
    </row>
    <row r="2201" spans="1:7" s="373" customFormat="1" ht="13.8" x14ac:dyDescent="0.3">
      <c r="A2201" s="378"/>
      <c r="B2201" s="378"/>
      <c r="C2201" s="379"/>
      <c r="D2201" s="379"/>
      <c r="E2201" s="379"/>
      <c r="F2201" s="379"/>
      <c r="G2201" s="380"/>
    </row>
    <row r="2202" spans="1:7" s="373" customFormat="1" ht="13.8" x14ac:dyDescent="0.3">
      <c r="A2202" s="378"/>
      <c r="B2202" s="378"/>
      <c r="C2202" s="379"/>
      <c r="D2202" s="379"/>
      <c r="E2202" s="379"/>
      <c r="F2202" s="379"/>
      <c r="G2202" s="380"/>
    </row>
    <row r="2203" spans="1:7" s="373" customFormat="1" ht="13.8" x14ac:dyDescent="0.3">
      <c r="A2203" s="378"/>
      <c r="B2203" s="378"/>
      <c r="C2203" s="379"/>
      <c r="D2203" s="379"/>
      <c r="E2203" s="379"/>
      <c r="F2203" s="379"/>
      <c r="G2203" s="380"/>
    </row>
    <row r="2204" spans="1:7" s="373" customFormat="1" ht="13.8" x14ac:dyDescent="0.3">
      <c r="A2204" s="378"/>
      <c r="B2204" s="378"/>
      <c r="C2204" s="379"/>
      <c r="D2204" s="379"/>
      <c r="E2204" s="379"/>
      <c r="F2204" s="379"/>
      <c r="G2204" s="380"/>
    </row>
    <row r="2205" spans="1:7" s="373" customFormat="1" ht="13.8" x14ac:dyDescent="0.3">
      <c r="A2205" s="378"/>
      <c r="B2205" s="378"/>
      <c r="C2205" s="379"/>
      <c r="D2205" s="379"/>
      <c r="E2205" s="379"/>
      <c r="F2205" s="379"/>
      <c r="G2205" s="380"/>
    </row>
    <row r="2206" spans="1:7" s="373" customFormat="1" ht="13.8" x14ac:dyDescent="0.3">
      <c r="A2206" s="378"/>
      <c r="B2206" s="378"/>
      <c r="C2206" s="379"/>
      <c r="D2206" s="379"/>
      <c r="E2206" s="379"/>
      <c r="F2206" s="379"/>
      <c r="G2206" s="380"/>
    </row>
    <row r="2207" spans="1:7" s="373" customFormat="1" ht="13.8" x14ac:dyDescent="0.3">
      <c r="A2207" s="378"/>
      <c r="B2207" s="378"/>
      <c r="C2207" s="379"/>
      <c r="D2207" s="379"/>
      <c r="E2207" s="379"/>
      <c r="F2207" s="379"/>
      <c r="G2207" s="380"/>
    </row>
    <row r="2208" spans="1:7" s="373" customFormat="1" ht="13.8" x14ac:dyDescent="0.3">
      <c r="A2208" s="378"/>
      <c r="B2208" s="378"/>
      <c r="C2208" s="379"/>
      <c r="D2208" s="379"/>
      <c r="E2208" s="379"/>
      <c r="F2208" s="379"/>
      <c r="G2208" s="380"/>
    </row>
    <row r="2209" spans="1:7" s="373" customFormat="1" ht="13.8" x14ac:dyDescent="0.3">
      <c r="A2209" s="378"/>
      <c r="B2209" s="378"/>
      <c r="C2209" s="379"/>
      <c r="D2209" s="379"/>
      <c r="E2209" s="379"/>
      <c r="F2209" s="379"/>
      <c r="G2209" s="380"/>
    </row>
    <row r="2210" spans="1:7" s="373" customFormat="1" ht="13.8" x14ac:dyDescent="0.3">
      <c r="A2210" s="378"/>
      <c r="B2210" s="378"/>
      <c r="C2210" s="379"/>
      <c r="D2210" s="379"/>
      <c r="E2210" s="379"/>
      <c r="F2210" s="379"/>
      <c r="G2210" s="380"/>
    </row>
    <row r="2211" spans="1:7" s="373" customFormat="1" ht="13.8" x14ac:dyDescent="0.3">
      <c r="A2211" s="378"/>
      <c r="B2211" s="378"/>
      <c r="C2211" s="379"/>
      <c r="D2211" s="379"/>
      <c r="E2211" s="379"/>
      <c r="F2211" s="379"/>
      <c r="G2211" s="380"/>
    </row>
    <row r="2212" spans="1:7" s="373" customFormat="1" ht="13.8" x14ac:dyDescent="0.3">
      <c r="A2212" s="378"/>
      <c r="B2212" s="378"/>
      <c r="C2212" s="379"/>
      <c r="D2212" s="379"/>
      <c r="E2212" s="379"/>
      <c r="F2212" s="379"/>
      <c r="G2212" s="380"/>
    </row>
    <row r="2213" spans="1:7" s="373" customFormat="1" ht="13.8" x14ac:dyDescent="0.3">
      <c r="A2213" s="378"/>
      <c r="B2213" s="378"/>
      <c r="C2213" s="379"/>
      <c r="D2213" s="379"/>
      <c r="E2213" s="379"/>
      <c r="F2213" s="379"/>
      <c r="G2213" s="380"/>
    </row>
    <row r="2214" spans="1:7" s="373" customFormat="1" ht="13.8" x14ac:dyDescent="0.3">
      <c r="A2214" s="378"/>
      <c r="B2214" s="378"/>
      <c r="C2214" s="379"/>
      <c r="D2214" s="379"/>
      <c r="E2214" s="379"/>
      <c r="F2214" s="379"/>
      <c r="G2214" s="380"/>
    </row>
    <row r="2215" spans="1:7" s="373" customFormat="1" ht="13.8" x14ac:dyDescent="0.3">
      <c r="A2215" s="378"/>
      <c r="B2215" s="378"/>
      <c r="C2215" s="379"/>
      <c r="D2215" s="379"/>
      <c r="E2215" s="379"/>
      <c r="F2215" s="379"/>
      <c r="G2215" s="380"/>
    </row>
    <row r="2216" spans="1:7" s="373" customFormat="1" ht="13.8" x14ac:dyDescent="0.3">
      <c r="A2216" s="378"/>
      <c r="B2216" s="378"/>
      <c r="C2216" s="379"/>
      <c r="D2216" s="379"/>
      <c r="E2216" s="379"/>
      <c r="F2216" s="379"/>
      <c r="G2216" s="380"/>
    </row>
    <row r="2217" spans="1:7" s="373" customFormat="1" ht="13.8" x14ac:dyDescent="0.3">
      <c r="A2217" s="378"/>
      <c r="B2217" s="378"/>
      <c r="C2217" s="379"/>
      <c r="D2217" s="379"/>
      <c r="E2217" s="379"/>
      <c r="F2217" s="379"/>
      <c r="G2217" s="380"/>
    </row>
    <row r="2218" spans="1:7" s="373" customFormat="1" ht="13.8" x14ac:dyDescent="0.3">
      <c r="A2218" s="378"/>
      <c r="B2218" s="378"/>
      <c r="C2218" s="379"/>
      <c r="D2218" s="379"/>
      <c r="E2218" s="379"/>
      <c r="F2218" s="379"/>
      <c r="G2218" s="380"/>
    </row>
    <row r="2219" spans="1:7" s="373" customFormat="1" ht="13.8" x14ac:dyDescent="0.3">
      <c r="A2219" s="378"/>
      <c r="B2219" s="378"/>
      <c r="C2219" s="379"/>
      <c r="D2219" s="379"/>
      <c r="E2219" s="379"/>
      <c r="F2219" s="379"/>
      <c r="G2219" s="380"/>
    </row>
    <row r="2220" spans="1:7" s="373" customFormat="1" ht="13.8" x14ac:dyDescent="0.3">
      <c r="A2220" s="378"/>
      <c r="B2220" s="378"/>
      <c r="C2220" s="379"/>
      <c r="D2220" s="379"/>
      <c r="E2220" s="379"/>
      <c r="F2220" s="379"/>
      <c r="G2220" s="380"/>
    </row>
    <row r="2221" spans="1:7" s="373" customFormat="1" ht="13.8" x14ac:dyDescent="0.3">
      <c r="A2221" s="378"/>
      <c r="B2221" s="378"/>
      <c r="C2221" s="379"/>
      <c r="D2221" s="379"/>
      <c r="E2221" s="379"/>
      <c r="F2221" s="379"/>
      <c r="G2221" s="380"/>
    </row>
    <row r="2222" spans="1:7" s="373" customFormat="1" ht="13.8" x14ac:dyDescent="0.3">
      <c r="A2222" s="378"/>
      <c r="B2222" s="378"/>
      <c r="C2222" s="379"/>
      <c r="D2222" s="379"/>
      <c r="E2222" s="379"/>
      <c r="F2222" s="379"/>
      <c r="G2222" s="380"/>
    </row>
    <row r="2223" spans="1:7" s="373" customFormat="1" ht="13.8" x14ac:dyDescent="0.3">
      <c r="A2223" s="378"/>
      <c r="B2223" s="378"/>
      <c r="C2223" s="379"/>
      <c r="D2223" s="379"/>
      <c r="E2223" s="379"/>
      <c r="F2223" s="379"/>
      <c r="G2223" s="380"/>
    </row>
    <row r="2224" spans="1:7" s="373" customFormat="1" ht="13.8" x14ac:dyDescent="0.3">
      <c r="A2224" s="378"/>
      <c r="B2224" s="378"/>
      <c r="C2224" s="379"/>
      <c r="D2224" s="379"/>
      <c r="E2224" s="379"/>
      <c r="F2224" s="379"/>
      <c r="G2224" s="380"/>
    </row>
    <row r="2225" spans="1:7" s="373" customFormat="1" ht="13.8" x14ac:dyDescent="0.3">
      <c r="A2225" s="378"/>
      <c r="B2225" s="378"/>
      <c r="C2225" s="379"/>
      <c r="D2225" s="379"/>
      <c r="E2225" s="379"/>
      <c r="F2225" s="379"/>
      <c r="G2225" s="380"/>
    </row>
    <row r="2226" spans="1:7" s="373" customFormat="1" ht="13.8" x14ac:dyDescent="0.3">
      <c r="A2226" s="378"/>
      <c r="B2226" s="378"/>
      <c r="C2226" s="379"/>
      <c r="D2226" s="379"/>
      <c r="E2226" s="379"/>
      <c r="F2226" s="379"/>
      <c r="G2226" s="380"/>
    </row>
    <row r="2227" spans="1:7" s="373" customFormat="1" ht="13.8" x14ac:dyDescent="0.3">
      <c r="A2227" s="378"/>
      <c r="B2227" s="378"/>
      <c r="C2227" s="379"/>
      <c r="D2227" s="379"/>
      <c r="E2227" s="379"/>
      <c r="F2227" s="379"/>
      <c r="G2227" s="380"/>
    </row>
    <row r="2228" spans="1:7" s="373" customFormat="1" ht="13.8" x14ac:dyDescent="0.3">
      <c r="A2228" s="378"/>
      <c r="B2228" s="378"/>
      <c r="C2228" s="379"/>
      <c r="D2228" s="379"/>
      <c r="E2228" s="379"/>
      <c r="F2228" s="379"/>
      <c r="G2228" s="380"/>
    </row>
    <row r="2229" spans="1:7" s="373" customFormat="1" ht="13.8" x14ac:dyDescent="0.3">
      <c r="A2229" s="378"/>
      <c r="B2229" s="378"/>
      <c r="C2229" s="379"/>
      <c r="D2229" s="379"/>
      <c r="E2229" s="379"/>
      <c r="F2229" s="379"/>
      <c r="G2229" s="380"/>
    </row>
    <row r="2230" spans="1:7" s="373" customFormat="1" ht="13.8" x14ac:dyDescent="0.3">
      <c r="A2230" s="378"/>
      <c r="B2230" s="378"/>
      <c r="C2230" s="379"/>
      <c r="D2230" s="379"/>
      <c r="E2230" s="379"/>
      <c r="F2230" s="379"/>
      <c r="G2230" s="380"/>
    </row>
    <row r="2231" spans="1:7" s="373" customFormat="1" ht="13.8" x14ac:dyDescent="0.3">
      <c r="A2231" s="378"/>
      <c r="B2231" s="378"/>
      <c r="C2231" s="379"/>
      <c r="D2231" s="379"/>
      <c r="E2231" s="379"/>
      <c r="F2231" s="379"/>
      <c r="G2231" s="380"/>
    </row>
    <row r="2232" spans="1:7" s="373" customFormat="1" ht="13.8" x14ac:dyDescent="0.3">
      <c r="A2232" s="378"/>
      <c r="B2232" s="378"/>
      <c r="C2232" s="379"/>
      <c r="D2232" s="379"/>
      <c r="E2232" s="379"/>
      <c r="F2232" s="379"/>
      <c r="G2232" s="380"/>
    </row>
    <row r="2233" spans="1:7" s="373" customFormat="1" ht="13.8" x14ac:dyDescent="0.3">
      <c r="A2233" s="378"/>
      <c r="B2233" s="378"/>
      <c r="C2233" s="379"/>
      <c r="D2233" s="379"/>
      <c r="E2233" s="379"/>
      <c r="F2233" s="379"/>
      <c r="G2233" s="380"/>
    </row>
    <row r="2234" spans="1:7" s="373" customFormat="1" ht="13.8" x14ac:dyDescent="0.3">
      <c r="A2234" s="378"/>
      <c r="B2234" s="378"/>
      <c r="C2234" s="379"/>
      <c r="D2234" s="379"/>
      <c r="E2234" s="379"/>
      <c r="F2234" s="379"/>
      <c r="G2234" s="380"/>
    </row>
    <row r="2235" spans="1:7" s="373" customFormat="1" ht="13.8" x14ac:dyDescent="0.3">
      <c r="A2235" s="378"/>
      <c r="B2235" s="378"/>
      <c r="C2235" s="379"/>
      <c r="D2235" s="379"/>
      <c r="E2235" s="379"/>
      <c r="F2235" s="379"/>
      <c r="G2235" s="380"/>
    </row>
    <row r="2236" spans="1:7" s="373" customFormat="1" ht="13.8" x14ac:dyDescent="0.3">
      <c r="A2236" s="378"/>
      <c r="B2236" s="378"/>
      <c r="C2236" s="379"/>
      <c r="D2236" s="379"/>
      <c r="E2236" s="379"/>
      <c r="F2236" s="379"/>
      <c r="G2236" s="380"/>
    </row>
    <row r="2237" spans="1:7" s="373" customFormat="1" ht="13.8" x14ac:dyDescent="0.3">
      <c r="A2237" s="378"/>
      <c r="B2237" s="378"/>
      <c r="C2237" s="379"/>
      <c r="D2237" s="379"/>
      <c r="E2237" s="379"/>
      <c r="F2237" s="379"/>
      <c r="G2237" s="380"/>
    </row>
    <row r="2238" spans="1:7" s="373" customFormat="1" ht="13.8" x14ac:dyDescent="0.3">
      <c r="A2238" s="378"/>
      <c r="B2238" s="378"/>
      <c r="C2238" s="379"/>
      <c r="D2238" s="379"/>
      <c r="E2238" s="379"/>
      <c r="F2238" s="379"/>
      <c r="G2238" s="380"/>
    </row>
    <row r="2239" spans="1:7" s="373" customFormat="1" ht="13.8" x14ac:dyDescent="0.3">
      <c r="A2239" s="378"/>
      <c r="B2239" s="378"/>
      <c r="C2239" s="379"/>
      <c r="D2239" s="379"/>
      <c r="E2239" s="379"/>
      <c r="F2239" s="379"/>
      <c r="G2239" s="380"/>
    </row>
    <row r="2240" spans="1:7" s="373" customFormat="1" ht="13.8" x14ac:dyDescent="0.3">
      <c r="A2240" s="378"/>
      <c r="B2240" s="378"/>
      <c r="C2240" s="379"/>
      <c r="D2240" s="379"/>
      <c r="E2240" s="379"/>
      <c r="F2240" s="379"/>
      <c r="G2240" s="380"/>
    </row>
    <row r="2241" spans="1:7" s="373" customFormat="1" ht="13.8" x14ac:dyDescent="0.3">
      <c r="A2241" s="378"/>
      <c r="B2241" s="378"/>
      <c r="C2241" s="379"/>
      <c r="D2241" s="379"/>
      <c r="E2241" s="379"/>
      <c r="F2241" s="379"/>
      <c r="G2241" s="380"/>
    </row>
    <row r="2242" spans="1:7" s="373" customFormat="1" ht="13.8" x14ac:dyDescent="0.3">
      <c r="A2242" s="378"/>
      <c r="B2242" s="378"/>
      <c r="C2242" s="379"/>
      <c r="D2242" s="379"/>
      <c r="E2242" s="379"/>
      <c r="F2242" s="379"/>
      <c r="G2242" s="380"/>
    </row>
    <row r="2243" spans="1:7" s="373" customFormat="1" ht="13.8" x14ac:dyDescent="0.3">
      <c r="A2243" s="378"/>
      <c r="B2243" s="378"/>
      <c r="C2243" s="379"/>
      <c r="D2243" s="379"/>
      <c r="E2243" s="379"/>
      <c r="F2243" s="379"/>
      <c r="G2243" s="380"/>
    </row>
    <row r="2244" spans="1:7" s="373" customFormat="1" ht="13.8" x14ac:dyDescent="0.3">
      <c r="A2244" s="378"/>
      <c r="B2244" s="378"/>
      <c r="C2244" s="379"/>
      <c r="D2244" s="379"/>
      <c r="E2244" s="379"/>
      <c r="F2244" s="379"/>
      <c r="G2244" s="380"/>
    </row>
    <row r="2245" spans="1:7" s="373" customFormat="1" ht="13.8" x14ac:dyDescent="0.3">
      <c r="A2245" s="378"/>
      <c r="B2245" s="378"/>
      <c r="C2245" s="379"/>
      <c r="D2245" s="379"/>
      <c r="E2245" s="379"/>
      <c r="F2245" s="379"/>
      <c r="G2245" s="380"/>
    </row>
    <row r="2246" spans="1:7" s="373" customFormat="1" ht="13.8" x14ac:dyDescent="0.3">
      <c r="A2246" s="378"/>
      <c r="B2246" s="378"/>
      <c r="C2246" s="379"/>
      <c r="D2246" s="379"/>
      <c r="E2246" s="379"/>
      <c r="F2246" s="379"/>
      <c r="G2246" s="380"/>
    </row>
    <row r="2247" spans="1:7" s="373" customFormat="1" ht="13.8" x14ac:dyDescent="0.3">
      <c r="A2247" s="378"/>
      <c r="B2247" s="378"/>
      <c r="C2247" s="379"/>
      <c r="D2247" s="379"/>
      <c r="E2247" s="379"/>
      <c r="F2247" s="379"/>
      <c r="G2247" s="380"/>
    </row>
    <row r="2248" spans="1:7" s="373" customFormat="1" ht="13.8" x14ac:dyDescent="0.3">
      <c r="A2248" s="378"/>
      <c r="B2248" s="378"/>
      <c r="C2248" s="379"/>
      <c r="D2248" s="379"/>
      <c r="E2248" s="379"/>
      <c r="F2248" s="379"/>
      <c r="G2248" s="380"/>
    </row>
    <row r="2249" spans="1:7" s="373" customFormat="1" ht="13.8" x14ac:dyDescent="0.3">
      <c r="A2249" s="378"/>
      <c r="B2249" s="378"/>
      <c r="C2249" s="379"/>
      <c r="D2249" s="379"/>
      <c r="E2249" s="379"/>
      <c r="F2249" s="379"/>
      <c r="G2249" s="380"/>
    </row>
    <row r="2250" spans="1:7" s="373" customFormat="1" ht="13.8" x14ac:dyDescent="0.3">
      <c r="A2250" s="378"/>
      <c r="B2250" s="378"/>
      <c r="C2250" s="379"/>
      <c r="D2250" s="379"/>
      <c r="E2250" s="379"/>
      <c r="F2250" s="379"/>
      <c r="G2250" s="380"/>
    </row>
    <row r="2251" spans="1:7" s="373" customFormat="1" ht="13.8" x14ac:dyDescent="0.3">
      <c r="A2251" s="378"/>
      <c r="B2251" s="378"/>
      <c r="C2251" s="379"/>
      <c r="D2251" s="379"/>
      <c r="E2251" s="379"/>
      <c r="F2251" s="379"/>
      <c r="G2251" s="380"/>
    </row>
    <row r="2252" spans="1:7" s="373" customFormat="1" ht="13.8" x14ac:dyDescent="0.3">
      <c r="A2252" s="378"/>
      <c r="B2252" s="378"/>
      <c r="C2252" s="379"/>
      <c r="D2252" s="379"/>
      <c r="E2252" s="379"/>
      <c r="F2252" s="379"/>
      <c r="G2252" s="380"/>
    </row>
    <row r="2253" spans="1:7" s="373" customFormat="1" ht="13.8" x14ac:dyDescent="0.3">
      <c r="A2253" s="378"/>
      <c r="B2253" s="378"/>
      <c r="C2253" s="379"/>
      <c r="D2253" s="379"/>
      <c r="E2253" s="379"/>
      <c r="F2253" s="379"/>
      <c r="G2253" s="380"/>
    </row>
    <row r="2254" spans="1:7" s="373" customFormat="1" ht="13.8" x14ac:dyDescent="0.3">
      <c r="A2254" s="378"/>
      <c r="B2254" s="378"/>
      <c r="C2254" s="379"/>
      <c r="D2254" s="379"/>
      <c r="E2254" s="379"/>
      <c r="F2254" s="379"/>
      <c r="G2254" s="380"/>
    </row>
    <row r="2255" spans="1:7" s="373" customFormat="1" ht="13.8" x14ac:dyDescent="0.3">
      <c r="A2255" s="378"/>
      <c r="B2255" s="378"/>
      <c r="C2255" s="379"/>
      <c r="D2255" s="379"/>
      <c r="E2255" s="379"/>
      <c r="F2255" s="379"/>
      <c r="G2255" s="380"/>
    </row>
    <row r="2256" spans="1:7" s="373" customFormat="1" ht="13.8" x14ac:dyDescent="0.3">
      <c r="A2256" s="378"/>
      <c r="B2256" s="378"/>
      <c r="C2256" s="379"/>
      <c r="D2256" s="379"/>
      <c r="E2256" s="379"/>
      <c r="F2256" s="379"/>
      <c r="G2256" s="380"/>
    </row>
    <row r="2257" spans="1:7" s="373" customFormat="1" ht="13.8" x14ac:dyDescent="0.3">
      <c r="A2257" s="378"/>
      <c r="B2257" s="378"/>
      <c r="C2257" s="379"/>
      <c r="D2257" s="379"/>
      <c r="E2257" s="379"/>
      <c r="F2257" s="379"/>
      <c r="G2257" s="380"/>
    </row>
    <row r="2258" spans="1:7" s="373" customFormat="1" ht="13.8" x14ac:dyDescent="0.3">
      <c r="A2258" s="378"/>
      <c r="B2258" s="378"/>
      <c r="C2258" s="379"/>
      <c r="D2258" s="379"/>
      <c r="E2258" s="379"/>
      <c r="F2258" s="379"/>
      <c r="G2258" s="380"/>
    </row>
    <row r="2259" spans="1:7" s="373" customFormat="1" ht="13.8" x14ac:dyDescent="0.3">
      <c r="A2259" s="378"/>
      <c r="B2259" s="378"/>
      <c r="C2259" s="379"/>
      <c r="D2259" s="379"/>
      <c r="E2259" s="379"/>
      <c r="F2259" s="379"/>
      <c r="G2259" s="380"/>
    </row>
    <row r="2260" spans="1:7" s="373" customFormat="1" ht="13.8" x14ac:dyDescent="0.3">
      <c r="A2260" s="378"/>
      <c r="B2260" s="378"/>
      <c r="C2260" s="379"/>
      <c r="D2260" s="379"/>
      <c r="E2260" s="379"/>
      <c r="F2260" s="379"/>
      <c r="G2260" s="380"/>
    </row>
    <row r="2261" spans="1:7" s="373" customFormat="1" ht="13.8" x14ac:dyDescent="0.3">
      <c r="A2261" s="378"/>
      <c r="B2261" s="378"/>
      <c r="C2261" s="379"/>
      <c r="D2261" s="379"/>
      <c r="E2261" s="379"/>
      <c r="F2261" s="379"/>
      <c r="G2261" s="380"/>
    </row>
    <row r="2262" spans="1:7" s="373" customFormat="1" ht="13.8" x14ac:dyDescent="0.3">
      <c r="A2262" s="378"/>
      <c r="B2262" s="378"/>
      <c r="C2262" s="379"/>
      <c r="D2262" s="379"/>
      <c r="E2262" s="379"/>
      <c r="F2262" s="379"/>
      <c r="G2262" s="380"/>
    </row>
    <row r="2263" spans="1:7" s="373" customFormat="1" ht="13.8" x14ac:dyDescent="0.3">
      <c r="A2263" s="378"/>
      <c r="B2263" s="378"/>
      <c r="C2263" s="379"/>
      <c r="D2263" s="379"/>
      <c r="E2263" s="379"/>
      <c r="F2263" s="379"/>
      <c r="G2263" s="380"/>
    </row>
    <row r="2264" spans="1:7" s="373" customFormat="1" ht="13.8" x14ac:dyDescent="0.3">
      <c r="A2264" s="378"/>
      <c r="B2264" s="378"/>
      <c r="C2264" s="379"/>
      <c r="D2264" s="379"/>
      <c r="E2264" s="379"/>
      <c r="F2264" s="379"/>
      <c r="G2264" s="380"/>
    </row>
    <row r="2265" spans="1:7" s="373" customFormat="1" ht="13.8" x14ac:dyDescent="0.3">
      <c r="A2265" s="378"/>
      <c r="B2265" s="378"/>
      <c r="C2265" s="379"/>
      <c r="D2265" s="379"/>
      <c r="E2265" s="379"/>
      <c r="F2265" s="379"/>
      <c r="G2265" s="380"/>
    </row>
    <row r="2266" spans="1:7" s="373" customFormat="1" ht="13.8" x14ac:dyDescent="0.3">
      <c r="A2266" s="378"/>
      <c r="B2266" s="378"/>
      <c r="C2266" s="379"/>
      <c r="D2266" s="379"/>
      <c r="E2266" s="379"/>
      <c r="F2266" s="379"/>
      <c r="G2266" s="380"/>
    </row>
    <row r="2267" spans="1:7" s="373" customFormat="1" ht="13.8" x14ac:dyDescent="0.3">
      <c r="A2267" s="378"/>
      <c r="B2267" s="378"/>
      <c r="C2267" s="379"/>
      <c r="D2267" s="379"/>
      <c r="E2267" s="379"/>
      <c r="F2267" s="379"/>
      <c r="G2267" s="380"/>
    </row>
    <row r="2268" spans="1:7" s="373" customFormat="1" ht="13.8" x14ac:dyDescent="0.3">
      <c r="A2268" s="378"/>
      <c r="B2268" s="378"/>
      <c r="C2268" s="379"/>
      <c r="D2268" s="379"/>
      <c r="E2268" s="379"/>
      <c r="F2268" s="379"/>
      <c r="G2268" s="380"/>
    </row>
    <row r="2269" spans="1:7" s="373" customFormat="1" ht="13.8" x14ac:dyDescent="0.3">
      <c r="A2269" s="378"/>
      <c r="B2269" s="378"/>
      <c r="C2269" s="379"/>
      <c r="D2269" s="379"/>
      <c r="E2269" s="379"/>
      <c r="F2269" s="379"/>
      <c r="G2269" s="380"/>
    </row>
    <row r="2270" spans="1:7" s="373" customFormat="1" ht="13.8" x14ac:dyDescent="0.3">
      <c r="A2270" s="378"/>
      <c r="B2270" s="378"/>
      <c r="C2270" s="379"/>
      <c r="D2270" s="379"/>
      <c r="E2270" s="379"/>
      <c r="F2270" s="379"/>
      <c r="G2270" s="380"/>
    </row>
    <row r="2271" spans="1:7" s="373" customFormat="1" ht="13.8" x14ac:dyDescent="0.3">
      <c r="A2271" s="378"/>
      <c r="B2271" s="378"/>
      <c r="C2271" s="379"/>
      <c r="D2271" s="379"/>
      <c r="E2271" s="379"/>
      <c r="F2271" s="379"/>
      <c r="G2271" s="380"/>
    </row>
    <row r="2272" spans="1:7" s="373" customFormat="1" ht="13.8" x14ac:dyDescent="0.3">
      <c r="A2272" s="378"/>
      <c r="B2272" s="378"/>
      <c r="C2272" s="379"/>
      <c r="D2272" s="379"/>
      <c r="E2272" s="379"/>
      <c r="F2272" s="379"/>
      <c r="G2272" s="380"/>
    </row>
    <row r="2273" spans="1:7" s="373" customFormat="1" ht="13.8" x14ac:dyDescent="0.3">
      <c r="A2273" s="378"/>
      <c r="B2273" s="378"/>
      <c r="C2273" s="379"/>
      <c r="D2273" s="379"/>
      <c r="E2273" s="379"/>
      <c r="F2273" s="379"/>
      <c r="G2273" s="380"/>
    </row>
    <row r="2274" spans="1:7" s="373" customFormat="1" ht="13.8" x14ac:dyDescent="0.3">
      <c r="A2274" s="378"/>
      <c r="B2274" s="378"/>
      <c r="C2274" s="379"/>
      <c r="D2274" s="379"/>
      <c r="E2274" s="379"/>
      <c r="F2274" s="379"/>
      <c r="G2274" s="380"/>
    </row>
    <row r="2275" spans="1:7" s="373" customFormat="1" ht="13.8" x14ac:dyDescent="0.3">
      <c r="A2275" s="378"/>
      <c r="B2275" s="378"/>
      <c r="C2275" s="379"/>
      <c r="D2275" s="379"/>
      <c r="E2275" s="379"/>
      <c r="F2275" s="379"/>
      <c r="G2275" s="380"/>
    </row>
    <row r="2276" spans="1:7" s="373" customFormat="1" ht="13.8" x14ac:dyDescent="0.3">
      <c r="A2276" s="378"/>
      <c r="B2276" s="378"/>
      <c r="C2276" s="379"/>
      <c r="D2276" s="379"/>
      <c r="E2276" s="379"/>
      <c r="F2276" s="379"/>
      <c r="G2276" s="380"/>
    </row>
    <row r="2277" spans="1:7" s="373" customFormat="1" ht="13.8" x14ac:dyDescent="0.3">
      <c r="A2277" s="378"/>
      <c r="B2277" s="378"/>
      <c r="C2277" s="379"/>
      <c r="D2277" s="379"/>
      <c r="E2277" s="379"/>
      <c r="F2277" s="379"/>
      <c r="G2277" s="380"/>
    </row>
    <row r="2278" spans="1:7" s="373" customFormat="1" ht="13.8" x14ac:dyDescent="0.3">
      <c r="A2278" s="378"/>
      <c r="B2278" s="378"/>
      <c r="C2278" s="379"/>
      <c r="D2278" s="379"/>
      <c r="E2278" s="379"/>
      <c r="F2278" s="379"/>
      <c r="G2278" s="380"/>
    </row>
    <row r="2279" spans="1:7" s="373" customFormat="1" ht="13.8" x14ac:dyDescent="0.3">
      <c r="A2279" s="378"/>
      <c r="B2279" s="378"/>
      <c r="C2279" s="379"/>
      <c r="D2279" s="379"/>
      <c r="E2279" s="379"/>
      <c r="F2279" s="379"/>
      <c r="G2279" s="380"/>
    </row>
    <row r="2280" spans="1:7" s="373" customFormat="1" ht="13.8" x14ac:dyDescent="0.3">
      <c r="A2280" s="378"/>
      <c r="B2280" s="378"/>
      <c r="C2280" s="379"/>
      <c r="D2280" s="379"/>
      <c r="E2280" s="379"/>
      <c r="F2280" s="379"/>
      <c r="G2280" s="380"/>
    </row>
    <row r="2281" spans="1:7" s="373" customFormat="1" ht="13.8" x14ac:dyDescent="0.3">
      <c r="A2281" s="378"/>
      <c r="B2281" s="378"/>
      <c r="C2281" s="379"/>
      <c r="D2281" s="379"/>
      <c r="E2281" s="379"/>
      <c r="F2281" s="379"/>
      <c r="G2281" s="380"/>
    </row>
    <row r="2282" spans="1:7" s="373" customFormat="1" ht="13.8" x14ac:dyDescent="0.3">
      <c r="A2282" s="378"/>
      <c r="B2282" s="378"/>
      <c r="C2282" s="379"/>
      <c r="D2282" s="379"/>
      <c r="E2282" s="379"/>
      <c r="F2282" s="379"/>
      <c r="G2282" s="380"/>
    </row>
    <row r="2283" spans="1:7" s="373" customFormat="1" ht="13.8" x14ac:dyDescent="0.3">
      <c r="A2283" s="378"/>
      <c r="B2283" s="378"/>
      <c r="C2283" s="379"/>
      <c r="D2283" s="379"/>
      <c r="E2283" s="379"/>
      <c r="F2283" s="379"/>
      <c r="G2283" s="380"/>
    </row>
    <row r="2284" spans="1:7" s="373" customFormat="1" ht="13.8" x14ac:dyDescent="0.3">
      <c r="A2284" s="378"/>
      <c r="B2284" s="378"/>
      <c r="C2284" s="379"/>
      <c r="D2284" s="379"/>
      <c r="E2284" s="379"/>
      <c r="F2284" s="379"/>
      <c r="G2284" s="380"/>
    </row>
    <row r="2285" spans="1:7" s="373" customFormat="1" ht="13.8" x14ac:dyDescent="0.3">
      <c r="A2285" s="378"/>
      <c r="B2285" s="378"/>
      <c r="C2285" s="379"/>
      <c r="D2285" s="379"/>
      <c r="E2285" s="379"/>
      <c r="F2285" s="379"/>
      <c r="G2285" s="380"/>
    </row>
    <row r="2286" spans="1:7" s="373" customFormat="1" ht="13.8" x14ac:dyDescent="0.3">
      <c r="A2286" s="378"/>
      <c r="B2286" s="378"/>
      <c r="C2286" s="379"/>
      <c r="D2286" s="379"/>
      <c r="E2286" s="379"/>
      <c r="F2286" s="379"/>
      <c r="G2286" s="380"/>
    </row>
    <row r="2287" spans="1:7" s="373" customFormat="1" ht="13.8" x14ac:dyDescent="0.3">
      <c r="A2287" s="378"/>
      <c r="B2287" s="378"/>
      <c r="C2287" s="379"/>
      <c r="D2287" s="379"/>
      <c r="E2287" s="379"/>
      <c r="F2287" s="379"/>
      <c r="G2287" s="380"/>
    </row>
    <row r="2288" spans="1:7" s="373" customFormat="1" ht="13.8" x14ac:dyDescent="0.3">
      <c r="A2288" s="378"/>
      <c r="B2288" s="378"/>
      <c r="C2288" s="379"/>
      <c r="D2288" s="379"/>
      <c r="E2288" s="379"/>
      <c r="F2288" s="379"/>
      <c r="G2288" s="380"/>
    </row>
    <row r="2289" spans="1:7" s="373" customFormat="1" ht="13.8" x14ac:dyDescent="0.3">
      <c r="A2289" s="378"/>
      <c r="B2289" s="378"/>
      <c r="C2289" s="379"/>
      <c r="D2289" s="379"/>
      <c r="E2289" s="379"/>
      <c r="F2289" s="379"/>
      <c r="G2289" s="380"/>
    </row>
    <row r="2290" spans="1:7" s="373" customFormat="1" ht="13.8" x14ac:dyDescent="0.3">
      <c r="A2290" s="378"/>
      <c r="B2290" s="378"/>
      <c r="C2290" s="379"/>
      <c r="D2290" s="379"/>
      <c r="E2290" s="379"/>
      <c r="F2290" s="379"/>
      <c r="G2290" s="380"/>
    </row>
    <row r="2291" spans="1:7" s="373" customFormat="1" ht="13.8" x14ac:dyDescent="0.3">
      <c r="A2291" s="378"/>
      <c r="B2291" s="378"/>
      <c r="C2291" s="379"/>
      <c r="D2291" s="379"/>
      <c r="E2291" s="379"/>
      <c r="F2291" s="379"/>
      <c r="G2291" s="380"/>
    </row>
    <row r="2292" spans="1:7" s="373" customFormat="1" ht="13.8" x14ac:dyDescent="0.3">
      <c r="A2292" s="378"/>
      <c r="B2292" s="378"/>
      <c r="C2292" s="379"/>
      <c r="D2292" s="379"/>
      <c r="E2292" s="379"/>
      <c r="F2292" s="379"/>
      <c r="G2292" s="380"/>
    </row>
    <row r="2293" spans="1:7" s="373" customFormat="1" ht="13.8" x14ac:dyDescent="0.3">
      <c r="A2293" s="378"/>
      <c r="B2293" s="378"/>
      <c r="C2293" s="379"/>
      <c r="D2293" s="379"/>
      <c r="E2293" s="379"/>
      <c r="F2293" s="379"/>
      <c r="G2293" s="380"/>
    </row>
    <row r="2294" spans="1:7" s="373" customFormat="1" ht="13.8" x14ac:dyDescent="0.3">
      <c r="A2294" s="378"/>
      <c r="B2294" s="378"/>
      <c r="C2294" s="379"/>
      <c r="D2294" s="379"/>
      <c r="E2294" s="379"/>
      <c r="F2294" s="379"/>
      <c r="G2294" s="380"/>
    </row>
    <row r="2295" spans="1:7" s="373" customFormat="1" ht="13.8" x14ac:dyDescent="0.3">
      <c r="A2295" s="378"/>
      <c r="B2295" s="378"/>
      <c r="C2295" s="379"/>
      <c r="D2295" s="379"/>
      <c r="E2295" s="379"/>
      <c r="F2295" s="379"/>
      <c r="G2295" s="380"/>
    </row>
    <row r="2296" spans="1:7" s="373" customFormat="1" ht="13.8" x14ac:dyDescent="0.3">
      <c r="A2296" s="378"/>
      <c r="B2296" s="378"/>
      <c r="C2296" s="379"/>
      <c r="D2296" s="379"/>
      <c r="E2296" s="379"/>
      <c r="F2296" s="379"/>
      <c r="G2296" s="380"/>
    </row>
    <row r="2297" spans="1:7" s="373" customFormat="1" ht="13.8" x14ac:dyDescent="0.3">
      <c r="A2297" s="378"/>
      <c r="B2297" s="378"/>
      <c r="C2297" s="379"/>
      <c r="D2297" s="379"/>
      <c r="E2297" s="379"/>
      <c r="F2297" s="379"/>
      <c r="G2297" s="380"/>
    </row>
    <row r="2298" spans="1:7" s="373" customFormat="1" ht="13.8" x14ac:dyDescent="0.3">
      <c r="A2298" s="378"/>
      <c r="B2298" s="378"/>
      <c r="C2298" s="379"/>
      <c r="D2298" s="379"/>
      <c r="E2298" s="379"/>
      <c r="F2298" s="379"/>
      <c r="G2298" s="380"/>
    </row>
    <row r="2299" spans="1:7" s="373" customFormat="1" ht="13.8" x14ac:dyDescent="0.3">
      <c r="A2299" s="378"/>
      <c r="B2299" s="378"/>
      <c r="C2299" s="379"/>
      <c r="D2299" s="379"/>
      <c r="E2299" s="379"/>
      <c r="F2299" s="379"/>
      <c r="G2299" s="380"/>
    </row>
    <row r="2300" spans="1:7" s="373" customFormat="1" ht="13.8" x14ac:dyDescent="0.3">
      <c r="A2300" s="378"/>
      <c r="B2300" s="378"/>
      <c r="C2300" s="379"/>
      <c r="D2300" s="379"/>
      <c r="E2300" s="379"/>
      <c r="F2300" s="379"/>
      <c r="G2300" s="380"/>
    </row>
    <row r="2301" spans="1:7" s="373" customFormat="1" ht="13.8" x14ac:dyDescent="0.3">
      <c r="A2301" s="378"/>
      <c r="B2301" s="378"/>
      <c r="C2301" s="379"/>
      <c r="D2301" s="379"/>
      <c r="E2301" s="379"/>
      <c r="F2301" s="379"/>
      <c r="G2301" s="380"/>
    </row>
    <row r="2302" spans="1:7" s="373" customFormat="1" ht="13.8" x14ac:dyDescent="0.3">
      <c r="A2302" s="378"/>
      <c r="B2302" s="378"/>
      <c r="C2302" s="379"/>
      <c r="D2302" s="379"/>
      <c r="E2302" s="379"/>
      <c r="F2302" s="379"/>
      <c r="G2302" s="380"/>
    </row>
    <row r="2303" spans="1:7" s="373" customFormat="1" ht="13.8" x14ac:dyDescent="0.3">
      <c r="A2303" s="378"/>
      <c r="B2303" s="378"/>
      <c r="C2303" s="379"/>
      <c r="D2303" s="379"/>
      <c r="E2303" s="379"/>
      <c r="F2303" s="379"/>
      <c r="G2303" s="380"/>
    </row>
    <row r="2304" spans="1:7" s="373" customFormat="1" ht="13.8" x14ac:dyDescent="0.3">
      <c r="A2304" s="378"/>
      <c r="B2304" s="378"/>
      <c r="C2304" s="379"/>
      <c r="D2304" s="379"/>
      <c r="E2304" s="379"/>
      <c r="F2304" s="379"/>
      <c r="G2304" s="380"/>
    </row>
    <row r="2305" spans="1:7" s="373" customFormat="1" ht="13.8" x14ac:dyDescent="0.3">
      <c r="A2305" s="378"/>
      <c r="B2305" s="378"/>
      <c r="C2305" s="379"/>
      <c r="D2305" s="379"/>
      <c r="E2305" s="379"/>
      <c r="F2305" s="379"/>
      <c r="G2305" s="380"/>
    </row>
    <row r="2306" spans="1:7" s="373" customFormat="1" ht="13.8" x14ac:dyDescent="0.3">
      <c r="A2306" s="378"/>
      <c r="B2306" s="378"/>
      <c r="C2306" s="379"/>
      <c r="D2306" s="379"/>
      <c r="E2306" s="379"/>
      <c r="F2306" s="379"/>
      <c r="G2306" s="380"/>
    </row>
    <row r="2307" spans="1:7" s="373" customFormat="1" ht="13.8" x14ac:dyDescent="0.3">
      <c r="A2307" s="378"/>
      <c r="B2307" s="378"/>
      <c r="C2307" s="379"/>
      <c r="D2307" s="379"/>
      <c r="E2307" s="379"/>
      <c r="F2307" s="379"/>
      <c r="G2307" s="380"/>
    </row>
    <row r="2308" spans="1:7" s="373" customFormat="1" ht="13.8" x14ac:dyDescent="0.3">
      <c r="A2308" s="378"/>
      <c r="B2308" s="378"/>
      <c r="C2308" s="379"/>
      <c r="D2308" s="379"/>
      <c r="E2308" s="379"/>
      <c r="F2308" s="379"/>
      <c r="G2308" s="380"/>
    </row>
    <row r="2309" spans="1:7" s="373" customFormat="1" ht="13.8" x14ac:dyDescent="0.3">
      <c r="A2309" s="378"/>
      <c r="B2309" s="378"/>
      <c r="C2309" s="379"/>
      <c r="D2309" s="379"/>
      <c r="E2309" s="379"/>
      <c r="F2309" s="379"/>
      <c r="G2309" s="380"/>
    </row>
    <row r="2310" spans="1:7" s="373" customFormat="1" ht="13.8" x14ac:dyDescent="0.3">
      <c r="A2310" s="378"/>
      <c r="B2310" s="378"/>
      <c r="C2310" s="379"/>
      <c r="D2310" s="379"/>
      <c r="E2310" s="379"/>
      <c r="F2310" s="379"/>
      <c r="G2310" s="380"/>
    </row>
    <row r="2311" spans="1:7" s="373" customFormat="1" ht="13.8" x14ac:dyDescent="0.3">
      <c r="A2311" s="378"/>
      <c r="B2311" s="378"/>
      <c r="C2311" s="379"/>
      <c r="D2311" s="379"/>
      <c r="E2311" s="379"/>
      <c r="F2311" s="379"/>
      <c r="G2311" s="380"/>
    </row>
    <row r="2312" spans="1:7" s="373" customFormat="1" ht="13.8" x14ac:dyDescent="0.3">
      <c r="A2312" s="378"/>
      <c r="B2312" s="378"/>
      <c r="C2312" s="379"/>
      <c r="D2312" s="379"/>
      <c r="E2312" s="379"/>
      <c r="F2312" s="379"/>
      <c r="G2312" s="380"/>
    </row>
    <row r="2313" spans="1:7" s="373" customFormat="1" ht="13.8" x14ac:dyDescent="0.3">
      <c r="A2313" s="378"/>
      <c r="B2313" s="378"/>
      <c r="C2313" s="379"/>
      <c r="D2313" s="379"/>
      <c r="E2313" s="379"/>
      <c r="F2313" s="379"/>
      <c r="G2313" s="380"/>
    </row>
    <row r="2314" spans="1:7" s="373" customFormat="1" ht="13.8" x14ac:dyDescent="0.3">
      <c r="A2314" s="378"/>
      <c r="B2314" s="378"/>
      <c r="C2314" s="379"/>
      <c r="D2314" s="379"/>
      <c r="E2314" s="379"/>
      <c r="F2314" s="379"/>
      <c r="G2314" s="380"/>
    </row>
    <row r="2315" spans="1:7" s="373" customFormat="1" ht="13.8" x14ac:dyDescent="0.3">
      <c r="A2315" s="378"/>
      <c r="B2315" s="378"/>
      <c r="C2315" s="379"/>
      <c r="D2315" s="379"/>
      <c r="E2315" s="379"/>
      <c r="F2315" s="379"/>
      <c r="G2315" s="380"/>
    </row>
    <row r="2316" spans="1:7" s="373" customFormat="1" ht="13.8" x14ac:dyDescent="0.3">
      <c r="A2316" s="378"/>
      <c r="B2316" s="378"/>
      <c r="C2316" s="379"/>
      <c r="D2316" s="379"/>
      <c r="E2316" s="379"/>
      <c r="F2316" s="379"/>
      <c r="G2316" s="380"/>
    </row>
    <row r="2317" spans="1:7" s="373" customFormat="1" ht="13.8" x14ac:dyDescent="0.3">
      <c r="A2317" s="378"/>
      <c r="B2317" s="378"/>
      <c r="C2317" s="379"/>
      <c r="D2317" s="379"/>
      <c r="E2317" s="379"/>
      <c r="F2317" s="379"/>
      <c r="G2317" s="380"/>
    </row>
    <row r="2318" spans="1:7" s="373" customFormat="1" ht="13.8" x14ac:dyDescent="0.3">
      <c r="A2318" s="378"/>
      <c r="B2318" s="378"/>
      <c r="C2318" s="379"/>
      <c r="D2318" s="379"/>
      <c r="E2318" s="379"/>
      <c r="F2318" s="379"/>
      <c r="G2318" s="380"/>
    </row>
    <row r="2319" spans="1:7" s="373" customFormat="1" ht="13.8" x14ac:dyDescent="0.3">
      <c r="A2319" s="378"/>
      <c r="B2319" s="378"/>
      <c r="C2319" s="379"/>
      <c r="D2319" s="379"/>
      <c r="E2319" s="379"/>
      <c r="F2319" s="379"/>
      <c r="G2319" s="380"/>
    </row>
    <row r="2320" spans="1:7" s="373" customFormat="1" ht="13.8" x14ac:dyDescent="0.3">
      <c r="A2320" s="378"/>
      <c r="B2320" s="378"/>
      <c r="C2320" s="379"/>
      <c r="D2320" s="379"/>
      <c r="E2320" s="379"/>
      <c r="F2320" s="379"/>
      <c r="G2320" s="380"/>
    </row>
    <row r="2321" spans="1:7" s="373" customFormat="1" ht="13.8" x14ac:dyDescent="0.3">
      <c r="A2321" s="378"/>
      <c r="B2321" s="378"/>
      <c r="C2321" s="379"/>
      <c r="D2321" s="379"/>
      <c r="E2321" s="379"/>
      <c r="F2321" s="379"/>
      <c r="G2321" s="380"/>
    </row>
    <row r="2322" spans="1:7" s="373" customFormat="1" ht="13.8" x14ac:dyDescent="0.3">
      <c r="A2322" s="378"/>
      <c r="B2322" s="378"/>
      <c r="C2322" s="379"/>
      <c r="D2322" s="379"/>
      <c r="E2322" s="379"/>
      <c r="F2322" s="379"/>
      <c r="G2322" s="380"/>
    </row>
    <row r="2323" spans="1:7" s="373" customFormat="1" ht="13.8" x14ac:dyDescent="0.3">
      <c r="A2323" s="378"/>
      <c r="B2323" s="378"/>
      <c r="C2323" s="379"/>
      <c r="D2323" s="379"/>
      <c r="E2323" s="379"/>
      <c r="F2323" s="379"/>
      <c r="G2323" s="380"/>
    </row>
    <row r="2324" spans="1:7" s="373" customFormat="1" ht="13.8" x14ac:dyDescent="0.3">
      <c r="A2324" s="378"/>
      <c r="B2324" s="378"/>
      <c r="C2324" s="379"/>
      <c r="D2324" s="379"/>
      <c r="E2324" s="379"/>
      <c r="F2324" s="379"/>
      <c r="G2324" s="380"/>
    </row>
    <row r="2325" spans="1:7" s="373" customFormat="1" ht="13.8" x14ac:dyDescent="0.3">
      <c r="A2325" s="378"/>
      <c r="B2325" s="378"/>
      <c r="C2325" s="379"/>
      <c r="D2325" s="379"/>
      <c r="E2325" s="379"/>
      <c r="F2325" s="379"/>
      <c r="G2325" s="380"/>
    </row>
    <row r="2326" spans="1:7" s="373" customFormat="1" ht="13.8" x14ac:dyDescent="0.3">
      <c r="A2326" s="378"/>
      <c r="B2326" s="378"/>
      <c r="C2326" s="379"/>
      <c r="D2326" s="379"/>
      <c r="E2326" s="379"/>
      <c r="F2326" s="379"/>
      <c r="G2326" s="380"/>
    </row>
    <row r="2327" spans="1:7" s="373" customFormat="1" ht="13.8" x14ac:dyDescent="0.3">
      <c r="A2327" s="378"/>
      <c r="B2327" s="378"/>
      <c r="C2327" s="379"/>
      <c r="D2327" s="379"/>
      <c r="E2327" s="379"/>
      <c r="F2327" s="379"/>
      <c r="G2327" s="380"/>
    </row>
    <row r="2328" spans="1:7" s="373" customFormat="1" ht="13.8" x14ac:dyDescent="0.3">
      <c r="A2328" s="378"/>
      <c r="B2328" s="378"/>
      <c r="C2328" s="379"/>
      <c r="D2328" s="379"/>
      <c r="E2328" s="379"/>
      <c r="F2328" s="379"/>
      <c r="G2328" s="380"/>
    </row>
    <row r="2329" spans="1:7" s="373" customFormat="1" ht="13.8" x14ac:dyDescent="0.3">
      <c r="A2329" s="378"/>
      <c r="B2329" s="378"/>
      <c r="C2329" s="379"/>
      <c r="D2329" s="379"/>
      <c r="E2329" s="379"/>
      <c r="F2329" s="379"/>
      <c r="G2329" s="380"/>
    </row>
    <row r="2330" spans="1:7" s="373" customFormat="1" ht="13.8" x14ac:dyDescent="0.3">
      <c r="A2330" s="378"/>
      <c r="B2330" s="378"/>
      <c r="C2330" s="379"/>
      <c r="D2330" s="379"/>
      <c r="E2330" s="379"/>
      <c r="F2330" s="379"/>
      <c r="G2330" s="380"/>
    </row>
    <row r="2331" spans="1:7" s="373" customFormat="1" ht="13.8" x14ac:dyDescent="0.3">
      <c r="A2331" s="378"/>
      <c r="B2331" s="378"/>
      <c r="C2331" s="379"/>
      <c r="D2331" s="379"/>
      <c r="E2331" s="379"/>
      <c r="F2331" s="379"/>
      <c r="G2331" s="380"/>
    </row>
    <row r="2332" spans="1:7" s="373" customFormat="1" ht="13.8" x14ac:dyDescent="0.3">
      <c r="A2332" s="378"/>
      <c r="B2332" s="378"/>
      <c r="C2332" s="379"/>
      <c r="D2332" s="379"/>
      <c r="E2332" s="379"/>
      <c r="F2332" s="379"/>
      <c r="G2332" s="380"/>
    </row>
    <row r="2333" spans="1:7" s="373" customFormat="1" ht="13.8" x14ac:dyDescent="0.3">
      <c r="A2333" s="378"/>
      <c r="B2333" s="378"/>
      <c r="C2333" s="379"/>
      <c r="D2333" s="379"/>
      <c r="E2333" s="379"/>
      <c r="F2333" s="379"/>
      <c r="G2333" s="380"/>
    </row>
    <row r="2334" spans="1:7" s="373" customFormat="1" ht="13.8" x14ac:dyDescent="0.3">
      <c r="A2334" s="378"/>
      <c r="B2334" s="378"/>
      <c r="C2334" s="379"/>
      <c r="D2334" s="379"/>
      <c r="E2334" s="379"/>
      <c r="F2334" s="379"/>
      <c r="G2334" s="380"/>
    </row>
    <row r="2335" spans="1:7" s="373" customFormat="1" ht="13.8" x14ac:dyDescent="0.3">
      <c r="A2335" s="378"/>
      <c r="B2335" s="378"/>
      <c r="C2335" s="379"/>
      <c r="D2335" s="379"/>
      <c r="E2335" s="379"/>
      <c r="F2335" s="379"/>
      <c r="G2335" s="380"/>
    </row>
    <row r="2336" spans="1:7" s="373" customFormat="1" ht="13.8" x14ac:dyDescent="0.3">
      <c r="A2336" s="378"/>
      <c r="B2336" s="378"/>
      <c r="C2336" s="379"/>
      <c r="D2336" s="379"/>
      <c r="E2336" s="379"/>
      <c r="F2336" s="379"/>
      <c r="G2336" s="380"/>
    </row>
    <row r="2337" spans="1:7" s="373" customFormat="1" ht="13.8" x14ac:dyDescent="0.3">
      <c r="A2337" s="378"/>
      <c r="B2337" s="378"/>
      <c r="C2337" s="379"/>
      <c r="D2337" s="379"/>
      <c r="E2337" s="379"/>
      <c r="F2337" s="379"/>
      <c r="G2337" s="380"/>
    </row>
    <row r="2338" spans="1:7" s="373" customFormat="1" ht="13.8" x14ac:dyDescent="0.3">
      <c r="A2338" s="378"/>
      <c r="B2338" s="378"/>
      <c r="C2338" s="379"/>
      <c r="D2338" s="379"/>
      <c r="E2338" s="379"/>
      <c r="F2338" s="379"/>
      <c r="G2338" s="380"/>
    </row>
    <row r="2339" spans="1:7" s="373" customFormat="1" ht="13.8" x14ac:dyDescent="0.3">
      <c r="A2339" s="378"/>
      <c r="B2339" s="378"/>
      <c r="C2339" s="379"/>
      <c r="D2339" s="379"/>
      <c r="E2339" s="379"/>
      <c r="F2339" s="379"/>
      <c r="G2339" s="380"/>
    </row>
    <row r="2340" spans="1:7" s="373" customFormat="1" ht="13.8" x14ac:dyDescent="0.3">
      <c r="A2340" s="378"/>
      <c r="B2340" s="378"/>
      <c r="C2340" s="379"/>
      <c r="D2340" s="379"/>
      <c r="E2340" s="379"/>
      <c r="F2340" s="379"/>
      <c r="G2340" s="380"/>
    </row>
    <row r="2341" spans="1:7" s="373" customFormat="1" ht="13.8" x14ac:dyDescent="0.3">
      <c r="A2341" s="378"/>
      <c r="B2341" s="378"/>
      <c r="C2341" s="379"/>
      <c r="D2341" s="379"/>
      <c r="E2341" s="379"/>
      <c r="F2341" s="379"/>
      <c r="G2341" s="380"/>
    </row>
    <row r="2342" spans="1:7" s="373" customFormat="1" ht="13.8" x14ac:dyDescent="0.3">
      <c r="A2342" s="378"/>
      <c r="B2342" s="378"/>
      <c r="C2342" s="379"/>
      <c r="D2342" s="379"/>
      <c r="E2342" s="379"/>
      <c r="F2342" s="379"/>
      <c r="G2342" s="380"/>
    </row>
    <row r="2343" spans="1:7" s="373" customFormat="1" ht="13.8" x14ac:dyDescent="0.3">
      <c r="A2343" s="378"/>
      <c r="B2343" s="378"/>
      <c r="C2343" s="379"/>
      <c r="D2343" s="379"/>
      <c r="E2343" s="379"/>
      <c r="F2343" s="379"/>
      <c r="G2343" s="380"/>
    </row>
    <row r="2344" spans="1:7" s="373" customFormat="1" ht="13.8" x14ac:dyDescent="0.3">
      <c r="A2344" s="378"/>
      <c r="B2344" s="378"/>
      <c r="C2344" s="379"/>
      <c r="D2344" s="379"/>
      <c r="E2344" s="379"/>
      <c r="F2344" s="379"/>
      <c r="G2344" s="380"/>
    </row>
    <row r="2345" spans="1:7" s="373" customFormat="1" ht="13.8" x14ac:dyDescent="0.3">
      <c r="A2345" s="378"/>
      <c r="B2345" s="378"/>
      <c r="C2345" s="379"/>
      <c r="D2345" s="379"/>
      <c r="E2345" s="379"/>
      <c r="F2345" s="379"/>
      <c r="G2345" s="380"/>
    </row>
    <row r="2346" spans="1:7" s="373" customFormat="1" ht="13.8" x14ac:dyDescent="0.3">
      <c r="A2346" s="378"/>
      <c r="B2346" s="378"/>
      <c r="C2346" s="379"/>
      <c r="D2346" s="379"/>
      <c r="E2346" s="379"/>
      <c r="F2346" s="379"/>
      <c r="G2346" s="380"/>
    </row>
    <row r="2347" spans="1:7" s="373" customFormat="1" ht="13.8" x14ac:dyDescent="0.3">
      <c r="A2347" s="378"/>
      <c r="B2347" s="378"/>
      <c r="C2347" s="379"/>
      <c r="D2347" s="379"/>
      <c r="E2347" s="379"/>
      <c r="F2347" s="379"/>
      <c r="G2347" s="380"/>
    </row>
    <row r="2348" spans="1:7" s="373" customFormat="1" ht="13.8" x14ac:dyDescent="0.3">
      <c r="A2348" s="378"/>
      <c r="B2348" s="378"/>
      <c r="C2348" s="379"/>
      <c r="D2348" s="379"/>
      <c r="E2348" s="379"/>
      <c r="F2348" s="379"/>
      <c r="G2348" s="380"/>
    </row>
    <row r="2349" spans="1:7" s="373" customFormat="1" ht="13.8" x14ac:dyDescent="0.3">
      <c r="A2349" s="378"/>
      <c r="B2349" s="378"/>
      <c r="C2349" s="379"/>
      <c r="D2349" s="379"/>
      <c r="E2349" s="379"/>
      <c r="F2349" s="379"/>
      <c r="G2349" s="380"/>
    </row>
    <row r="2350" spans="1:7" s="373" customFormat="1" ht="13.8" x14ac:dyDescent="0.3">
      <c r="A2350" s="378"/>
      <c r="B2350" s="378"/>
      <c r="C2350" s="379"/>
      <c r="D2350" s="379"/>
      <c r="E2350" s="379"/>
      <c r="F2350" s="379"/>
      <c r="G2350" s="380"/>
    </row>
    <row r="2351" spans="1:7" s="373" customFormat="1" ht="13.8" x14ac:dyDescent="0.3">
      <c r="A2351" s="378"/>
      <c r="B2351" s="378"/>
      <c r="C2351" s="379"/>
      <c r="D2351" s="379"/>
      <c r="E2351" s="379"/>
      <c r="F2351" s="379"/>
      <c r="G2351" s="380"/>
    </row>
    <row r="2352" spans="1:7" s="373" customFormat="1" ht="13.8" x14ac:dyDescent="0.3">
      <c r="A2352" s="378"/>
      <c r="B2352" s="378"/>
      <c r="C2352" s="379"/>
      <c r="D2352" s="379"/>
      <c r="E2352" s="379"/>
      <c r="F2352" s="379"/>
      <c r="G2352" s="380"/>
    </row>
    <row r="2353" spans="1:7" s="373" customFormat="1" ht="13.8" x14ac:dyDescent="0.3">
      <c r="A2353" s="378"/>
      <c r="B2353" s="378"/>
      <c r="C2353" s="379"/>
      <c r="D2353" s="379"/>
      <c r="E2353" s="379"/>
      <c r="F2353" s="379"/>
      <c r="G2353" s="380"/>
    </row>
    <row r="2354" spans="1:7" s="373" customFormat="1" ht="13.8" x14ac:dyDescent="0.3">
      <c r="A2354" s="378"/>
      <c r="B2354" s="378"/>
      <c r="C2354" s="379"/>
      <c r="D2354" s="379"/>
      <c r="E2354" s="379"/>
      <c r="F2354" s="379"/>
      <c r="G2354" s="380"/>
    </row>
    <row r="2355" spans="1:7" s="373" customFormat="1" ht="13.8" x14ac:dyDescent="0.3">
      <c r="A2355" s="378"/>
      <c r="B2355" s="378"/>
      <c r="C2355" s="379"/>
      <c r="D2355" s="379"/>
      <c r="E2355" s="379"/>
      <c r="F2355" s="379"/>
      <c r="G2355" s="380"/>
    </row>
    <row r="2356" spans="1:7" s="373" customFormat="1" ht="13.8" x14ac:dyDescent="0.3">
      <c r="A2356" s="378"/>
      <c r="B2356" s="378"/>
      <c r="C2356" s="379"/>
      <c r="D2356" s="379"/>
      <c r="E2356" s="379"/>
      <c r="F2356" s="379"/>
      <c r="G2356" s="380"/>
    </row>
    <row r="2357" spans="1:7" s="373" customFormat="1" ht="13.8" x14ac:dyDescent="0.3">
      <c r="A2357" s="378"/>
      <c r="B2357" s="378"/>
      <c r="C2357" s="379"/>
      <c r="D2357" s="379"/>
      <c r="E2357" s="379"/>
      <c r="F2357" s="379"/>
      <c r="G2357" s="380"/>
    </row>
    <row r="2358" spans="1:7" s="373" customFormat="1" ht="13.8" x14ac:dyDescent="0.3">
      <c r="A2358" s="378"/>
      <c r="B2358" s="378"/>
      <c r="C2358" s="379"/>
      <c r="D2358" s="379"/>
      <c r="E2358" s="379"/>
      <c r="F2358" s="379"/>
      <c r="G2358" s="380"/>
    </row>
    <row r="2359" spans="1:7" s="373" customFormat="1" ht="13.8" x14ac:dyDescent="0.3">
      <c r="A2359" s="378"/>
      <c r="B2359" s="378"/>
      <c r="C2359" s="379"/>
      <c r="D2359" s="379"/>
      <c r="E2359" s="379"/>
      <c r="F2359" s="379"/>
      <c r="G2359" s="380"/>
    </row>
    <row r="2360" spans="1:7" s="373" customFormat="1" ht="13.8" x14ac:dyDescent="0.3">
      <c r="A2360" s="378"/>
      <c r="B2360" s="378"/>
      <c r="C2360" s="379"/>
      <c r="D2360" s="379"/>
      <c r="E2360" s="379"/>
      <c r="F2360" s="379"/>
      <c r="G2360" s="380"/>
    </row>
    <row r="2361" spans="1:7" s="373" customFormat="1" ht="13.8" x14ac:dyDescent="0.3">
      <c r="A2361" s="378"/>
      <c r="B2361" s="378"/>
      <c r="C2361" s="379"/>
      <c r="D2361" s="379"/>
      <c r="E2361" s="379"/>
      <c r="F2361" s="379"/>
      <c r="G2361" s="380"/>
    </row>
    <row r="2362" spans="1:7" s="373" customFormat="1" ht="13.8" x14ac:dyDescent="0.3">
      <c r="A2362" s="378"/>
      <c r="B2362" s="378"/>
      <c r="C2362" s="379"/>
      <c r="D2362" s="379"/>
      <c r="E2362" s="379"/>
      <c r="F2362" s="379"/>
      <c r="G2362" s="380"/>
    </row>
    <row r="2363" spans="1:7" s="373" customFormat="1" ht="13.8" x14ac:dyDescent="0.3">
      <c r="A2363" s="378"/>
      <c r="B2363" s="378"/>
      <c r="C2363" s="379"/>
      <c r="D2363" s="379"/>
      <c r="E2363" s="379"/>
      <c r="F2363" s="379"/>
      <c r="G2363" s="380"/>
    </row>
    <row r="2364" spans="1:7" s="373" customFormat="1" ht="13.8" x14ac:dyDescent="0.3">
      <c r="A2364" s="378"/>
      <c r="B2364" s="378"/>
      <c r="C2364" s="379"/>
      <c r="D2364" s="379"/>
      <c r="E2364" s="379"/>
      <c r="F2364" s="379"/>
      <c r="G2364" s="380"/>
    </row>
    <row r="2365" spans="1:7" s="373" customFormat="1" ht="13.8" x14ac:dyDescent="0.3">
      <c r="A2365" s="378"/>
      <c r="B2365" s="378"/>
      <c r="C2365" s="379"/>
      <c r="D2365" s="379"/>
      <c r="E2365" s="379"/>
      <c r="F2365" s="379"/>
      <c r="G2365" s="380"/>
    </row>
    <row r="2366" spans="1:7" s="373" customFormat="1" ht="13.8" x14ac:dyDescent="0.3">
      <c r="A2366" s="378"/>
      <c r="B2366" s="378"/>
      <c r="C2366" s="379"/>
      <c r="D2366" s="379"/>
      <c r="E2366" s="379"/>
      <c r="F2366" s="379"/>
      <c r="G2366" s="380"/>
    </row>
    <row r="2367" spans="1:7" s="373" customFormat="1" ht="13.8" x14ac:dyDescent="0.3">
      <c r="A2367" s="378"/>
      <c r="B2367" s="378"/>
      <c r="C2367" s="379"/>
      <c r="D2367" s="379"/>
      <c r="E2367" s="379"/>
      <c r="F2367" s="379"/>
      <c r="G2367" s="380"/>
    </row>
    <row r="2368" spans="1:7" s="373" customFormat="1" ht="13.8" x14ac:dyDescent="0.3">
      <c r="A2368" s="378"/>
      <c r="B2368" s="378"/>
      <c r="C2368" s="379"/>
      <c r="D2368" s="379"/>
      <c r="E2368" s="379"/>
      <c r="F2368" s="379"/>
      <c r="G2368" s="380"/>
    </row>
    <row r="2369" spans="1:7" s="373" customFormat="1" ht="13.8" x14ac:dyDescent="0.3">
      <c r="A2369" s="378"/>
      <c r="B2369" s="378"/>
      <c r="C2369" s="379"/>
      <c r="D2369" s="379"/>
      <c r="E2369" s="379"/>
      <c r="F2369" s="379"/>
      <c r="G2369" s="380"/>
    </row>
    <row r="2370" spans="1:7" s="373" customFormat="1" ht="13.8" x14ac:dyDescent="0.3">
      <c r="A2370" s="378"/>
      <c r="B2370" s="378"/>
      <c r="C2370" s="379"/>
      <c r="D2370" s="379"/>
      <c r="E2370" s="379"/>
      <c r="F2370" s="379"/>
      <c r="G2370" s="380"/>
    </row>
    <row r="2371" spans="1:7" s="373" customFormat="1" ht="13.8" x14ac:dyDescent="0.3">
      <c r="A2371" s="378"/>
      <c r="B2371" s="378"/>
      <c r="C2371" s="379"/>
      <c r="D2371" s="379"/>
      <c r="E2371" s="379"/>
      <c r="F2371" s="379"/>
      <c r="G2371" s="380"/>
    </row>
    <row r="2372" spans="1:7" s="373" customFormat="1" ht="13.8" x14ac:dyDescent="0.3">
      <c r="A2372" s="378"/>
      <c r="B2372" s="378"/>
      <c r="C2372" s="379"/>
      <c r="D2372" s="379"/>
      <c r="E2372" s="379"/>
      <c r="F2372" s="379"/>
      <c r="G2372" s="380"/>
    </row>
    <row r="2373" spans="1:7" s="373" customFormat="1" ht="13.8" x14ac:dyDescent="0.3">
      <c r="A2373" s="378"/>
      <c r="B2373" s="378"/>
      <c r="C2373" s="379"/>
      <c r="D2373" s="379"/>
      <c r="E2373" s="379"/>
      <c r="F2373" s="379"/>
      <c r="G2373" s="380"/>
    </row>
    <row r="2374" spans="1:7" s="373" customFormat="1" ht="13.8" x14ac:dyDescent="0.3">
      <c r="A2374" s="378"/>
      <c r="B2374" s="378"/>
      <c r="C2374" s="379"/>
      <c r="D2374" s="379"/>
      <c r="E2374" s="379"/>
      <c r="F2374" s="379"/>
      <c r="G2374" s="380"/>
    </row>
    <row r="2375" spans="1:7" s="373" customFormat="1" ht="13.8" x14ac:dyDescent="0.3">
      <c r="A2375" s="378"/>
      <c r="B2375" s="378"/>
      <c r="C2375" s="379"/>
      <c r="D2375" s="379"/>
      <c r="E2375" s="379"/>
      <c r="F2375" s="379"/>
      <c r="G2375" s="380"/>
    </row>
    <row r="2376" spans="1:7" s="373" customFormat="1" ht="13.8" x14ac:dyDescent="0.3">
      <c r="A2376" s="378"/>
      <c r="B2376" s="378"/>
      <c r="C2376" s="379"/>
      <c r="D2376" s="379"/>
      <c r="E2376" s="379"/>
      <c r="F2376" s="379"/>
      <c r="G2376" s="380"/>
    </row>
    <row r="2377" spans="1:7" s="373" customFormat="1" ht="13.8" x14ac:dyDescent="0.3">
      <c r="A2377" s="378"/>
      <c r="B2377" s="378"/>
      <c r="C2377" s="379"/>
      <c r="D2377" s="379"/>
      <c r="E2377" s="379"/>
      <c r="F2377" s="379"/>
      <c r="G2377" s="380"/>
    </row>
    <row r="2378" spans="1:7" s="373" customFormat="1" ht="13.8" x14ac:dyDescent="0.3">
      <c r="A2378" s="378"/>
      <c r="B2378" s="378"/>
      <c r="C2378" s="379"/>
      <c r="D2378" s="379"/>
      <c r="E2378" s="379"/>
      <c r="F2378" s="379"/>
      <c r="G2378" s="380"/>
    </row>
    <row r="2379" spans="1:7" s="373" customFormat="1" ht="13.8" x14ac:dyDescent="0.3">
      <c r="A2379" s="378"/>
      <c r="B2379" s="378"/>
      <c r="C2379" s="379"/>
      <c r="D2379" s="379"/>
      <c r="E2379" s="379"/>
      <c r="F2379" s="379"/>
      <c r="G2379" s="380"/>
    </row>
    <row r="2380" spans="1:7" s="373" customFormat="1" ht="13.8" x14ac:dyDescent="0.3">
      <c r="A2380" s="378"/>
      <c r="B2380" s="378"/>
      <c r="C2380" s="379"/>
      <c r="D2380" s="379"/>
      <c r="E2380" s="379"/>
      <c r="F2380" s="379"/>
      <c r="G2380" s="380"/>
    </row>
    <row r="2381" spans="1:7" s="373" customFormat="1" ht="13.8" x14ac:dyDescent="0.3">
      <c r="A2381" s="378"/>
      <c r="B2381" s="378"/>
      <c r="C2381" s="379"/>
      <c r="D2381" s="379"/>
      <c r="E2381" s="379"/>
      <c r="F2381" s="379"/>
      <c r="G2381" s="380"/>
    </row>
    <row r="2382" spans="1:7" s="373" customFormat="1" ht="13.8" x14ac:dyDescent="0.3">
      <c r="A2382" s="378"/>
      <c r="B2382" s="378"/>
      <c r="C2382" s="379"/>
      <c r="D2382" s="379"/>
      <c r="E2382" s="379"/>
      <c r="F2382" s="379"/>
      <c r="G2382" s="380"/>
    </row>
    <row r="2383" spans="1:7" s="373" customFormat="1" ht="13.8" x14ac:dyDescent="0.3">
      <c r="A2383" s="378"/>
      <c r="B2383" s="378"/>
      <c r="C2383" s="379"/>
      <c r="D2383" s="379"/>
      <c r="E2383" s="379"/>
      <c r="F2383" s="379"/>
      <c r="G2383" s="380"/>
    </row>
    <row r="2384" spans="1:7" s="373" customFormat="1" ht="13.8" x14ac:dyDescent="0.3">
      <c r="A2384" s="378"/>
      <c r="B2384" s="378"/>
      <c r="C2384" s="379"/>
      <c r="D2384" s="379"/>
      <c r="E2384" s="379"/>
      <c r="F2384" s="379"/>
      <c r="G2384" s="380"/>
    </row>
    <row r="2385" spans="1:7" s="373" customFormat="1" ht="13.8" x14ac:dyDescent="0.3">
      <c r="A2385" s="378"/>
      <c r="B2385" s="378"/>
      <c r="C2385" s="379"/>
      <c r="D2385" s="379"/>
      <c r="E2385" s="379"/>
      <c r="F2385" s="379"/>
      <c r="G2385" s="380"/>
    </row>
    <row r="2386" spans="1:7" s="373" customFormat="1" ht="13.8" x14ac:dyDescent="0.3">
      <c r="A2386" s="378"/>
      <c r="B2386" s="378"/>
      <c r="C2386" s="379"/>
      <c r="D2386" s="379"/>
      <c r="E2386" s="379"/>
      <c r="F2386" s="379"/>
      <c r="G2386" s="380"/>
    </row>
    <row r="2387" spans="1:7" s="373" customFormat="1" ht="13.8" x14ac:dyDescent="0.3">
      <c r="A2387" s="378"/>
      <c r="B2387" s="378"/>
      <c r="C2387" s="379"/>
      <c r="D2387" s="379"/>
      <c r="E2387" s="379"/>
      <c r="F2387" s="379"/>
      <c r="G2387" s="380"/>
    </row>
    <row r="2388" spans="1:7" s="373" customFormat="1" ht="13.8" x14ac:dyDescent="0.3">
      <c r="A2388" s="378"/>
      <c r="B2388" s="378"/>
      <c r="C2388" s="379"/>
      <c r="D2388" s="379"/>
      <c r="E2388" s="379"/>
      <c r="F2388" s="379"/>
      <c r="G2388" s="380"/>
    </row>
    <row r="2389" spans="1:7" s="373" customFormat="1" ht="13.8" x14ac:dyDescent="0.3">
      <c r="A2389" s="378"/>
      <c r="B2389" s="378"/>
      <c r="C2389" s="379"/>
      <c r="D2389" s="379"/>
      <c r="E2389" s="379"/>
      <c r="F2389" s="379"/>
      <c r="G2389" s="380"/>
    </row>
    <row r="2390" spans="1:7" s="373" customFormat="1" ht="13.8" x14ac:dyDescent="0.3">
      <c r="A2390" s="378"/>
      <c r="B2390" s="378"/>
      <c r="C2390" s="379"/>
      <c r="D2390" s="379"/>
      <c r="E2390" s="379"/>
      <c r="F2390" s="379"/>
      <c r="G2390" s="380"/>
    </row>
    <row r="2391" spans="1:7" s="373" customFormat="1" ht="13.8" x14ac:dyDescent="0.3">
      <c r="A2391" s="378"/>
      <c r="B2391" s="378"/>
      <c r="C2391" s="379"/>
      <c r="D2391" s="379"/>
      <c r="E2391" s="379"/>
      <c r="F2391" s="379"/>
      <c r="G2391" s="380"/>
    </row>
    <row r="2392" spans="1:7" s="373" customFormat="1" ht="13.8" x14ac:dyDescent="0.3">
      <c r="A2392" s="378"/>
      <c r="B2392" s="378"/>
      <c r="C2392" s="379"/>
      <c r="D2392" s="379"/>
      <c r="E2392" s="379"/>
      <c r="F2392" s="379"/>
      <c r="G2392" s="380"/>
    </row>
    <row r="2393" spans="1:7" s="373" customFormat="1" ht="13.8" x14ac:dyDescent="0.3">
      <c r="A2393" s="378"/>
      <c r="B2393" s="378"/>
      <c r="C2393" s="379"/>
      <c r="D2393" s="379"/>
      <c r="E2393" s="379"/>
      <c r="F2393" s="379"/>
      <c r="G2393" s="380"/>
    </row>
    <row r="2394" spans="1:7" s="373" customFormat="1" ht="13.8" x14ac:dyDescent="0.3">
      <c r="A2394" s="378"/>
      <c r="B2394" s="378"/>
      <c r="C2394" s="379"/>
      <c r="D2394" s="379"/>
      <c r="E2394" s="379"/>
      <c r="F2394" s="379"/>
      <c r="G2394" s="380"/>
    </row>
    <row r="2395" spans="1:7" s="373" customFormat="1" ht="13.8" x14ac:dyDescent="0.3">
      <c r="A2395" s="378"/>
      <c r="B2395" s="378"/>
      <c r="C2395" s="379"/>
      <c r="D2395" s="379"/>
      <c r="E2395" s="379"/>
      <c r="F2395" s="379"/>
      <c r="G2395" s="380"/>
    </row>
    <row r="2396" spans="1:7" s="373" customFormat="1" ht="13.8" x14ac:dyDescent="0.3">
      <c r="A2396" s="378"/>
      <c r="B2396" s="378"/>
      <c r="C2396" s="379"/>
      <c r="D2396" s="379"/>
      <c r="E2396" s="379"/>
      <c r="F2396" s="379"/>
      <c r="G2396" s="380"/>
    </row>
    <row r="2397" spans="1:7" s="373" customFormat="1" ht="13.8" x14ac:dyDescent="0.3">
      <c r="A2397" s="378"/>
      <c r="B2397" s="378"/>
      <c r="C2397" s="379"/>
      <c r="D2397" s="379"/>
      <c r="E2397" s="379"/>
      <c r="F2397" s="379"/>
      <c r="G2397" s="380"/>
    </row>
    <row r="2398" spans="1:7" s="373" customFormat="1" ht="13.8" x14ac:dyDescent="0.3">
      <c r="A2398" s="378"/>
      <c r="B2398" s="378"/>
      <c r="C2398" s="379"/>
      <c r="D2398" s="379"/>
      <c r="E2398" s="379"/>
      <c r="F2398" s="379"/>
      <c r="G2398" s="380"/>
    </row>
    <row r="2399" spans="1:7" s="373" customFormat="1" ht="13.8" x14ac:dyDescent="0.3">
      <c r="A2399" s="378"/>
      <c r="B2399" s="378"/>
      <c r="C2399" s="379"/>
      <c r="D2399" s="379"/>
      <c r="E2399" s="379"/>
      <c r="F2399" s="379"/>
      <c r="G2399" s="380"/>
    </row>
    <row r="2400" spans="1:7" s="373" customFormat="1" ht="13.8" x14ac:dyDescent="0.3">
      <c r="A2400" s="378"/>
      <c r="B2400" s="378"/>
      <c r="C2400" s="379"/>
      <c r="D2400" s="379"/>
      <c r="E2400" s="379"/>
      <c r="F2400" s="379"/>
      <c r="G2400" s="380"/>
    </row>
    <row r="2401" spans="1:7" s="373" customFormat="1" ht="13.8" x14ac:dyDescent="0.3">
      <c r="A2401" s="378"/>
      <c r="B2401" s="378"/>
      <c r="C2401" s="379"/>
      <c r="D2401" s="379"/>
      <c r="E2401" s="379"/>
      <c r="F2401" s="379"/>
      <c r="G2401" s="380"/>
    </row>
    <row r="2402" spans="1:7" s="373" customFormat="1" ht="13.8" x14ac:dyDescent="0.3">
      <c r="A2402" s="378"/>
      <c r="B2402" s="378"/>
      <c r="C2402" s="379"/>
      <c r="D2402" s="379"/>
      <c r="E2402" s="379"/>
      <c r="F2402" s="379"/>
      <c r="G2402" s="380"/>
    </row>
    <row r="2403" spans="1:7" s="373" customFormat="1" ht="13.8" x14ac:dyDescent="0.3">
      <c r="A2403" s="378"/>
      <c r="B2403" s="378"/>
      <c r="C2403" s="379"/>
      <c r="D2403" s="379"/>
      <c r="E2403" s="379"/>
      <c r="F2403" s="379"/>
      <c r="G2403" s="380"/>
    </row>
    <row r="2404" spans="1:7" s="373" customFormat="1" ht="13.8" x14ac:dyDescent="0.3">
      <c r="A2404" s="378"/>
      <c r="B2404" s="378"/>
      <c r="C2404" s="379"/>
      <c r="D2404" s="379"/>
      <c r="E2404" s="379"/>
      <c r="F2404" s="379"/>
      <c r="G2404" s="380"/>
    </row>
    <row r="2405" spans="1:7" s="373" customFormat="1" ht="13.8" x14ac:dyDescent="0.3">
      <c r="A2405" s="378"/>
      <c r="B2405" s="378"/>
      <c r="C2405" s="379"/>
      <c r="D2405" s="379"/>
      <c r="E2405" s="379"/>
      <c r="F2405" s="379"/>
      <c r="G2405" s="380"/>
    </row>
    <row r="2406" spans="1:7" s="373" customFormat="1" ht="13.8" x14ac:dyDescent="0.3">
      <c r="A2406" s="378"/>
      <c r="B2406" s="378"/>
      <c r="C2406" s="379"/>
      <c r="D2406" s="379"/>
      <c r="E2406" s="379"/>
      <c r="F2406" s="379"/>
      <c r="G2406" s="380"/>
    </row>
    <row r="2407" spans="1:7" s="373" customFormat="1" ht="13.8" x14ac:dyDescent="0.3">
      <c r="A2407" s="378"/>
      <c r="B2407" s="378"/>
      <c r="C2407" s="379"/>
      <c r="D2407" s="379"/>
      <c r="E2407" s="379"/>
      <c r="F2407" s="379"/>
      <c r="G2407" s="380"/>
    </row>
    <row r="2408" spans="1:7" s="373" customFormat="1" ht="13.8" x14ac:dyDescent="0.3">
      <c r="A2408" s="378"/>
      <c r="B2408" s="378"/>
      <c r="C2408" s="379"/>
      <c r="D2408" s="379"/>
      <c r="E2408" s="379"/>
      <c r="F2408" s="379"/>
      <c r="G2408" s="380"/>
    </row>
    <row r="2409" spans="1:7" s="373" customFormat="1" ht="13.8" x14ac:dyDescent="0.3">
      <c r="A2409" s="378"/>
      <c r="B2409" s="378"/>
      <c r="C2409" s="379"/>
      <c r="D2409" s="379"/>
      <c r="E2409" s="379"/>
      <c r="F2409" s="379"/>
      <c r="G2409" s="380"/>
    </row>
    <row r="2410" spans="1:7" s="373" customFormat="1" ht="13.8" x14ac:dyDescent="0.3">
      <c r="A2410" s="378"/>
      <c r="B2410" s="378"/>
      <c r="C2410" s="379"/>
      <c r="D2410" s="379"/>
      <c r="E2410" s="379"/>
      <c r="F2410" s="379"/>
      <c r="G2410" s="380"/>
    </row>
    <row r="2411" spans="1:7" s="373" customFormat="1" ht="13.8" x14ac:dyDescent="0.3">
      <c r="A2411" s="378"/>
      <c r="B2411" s="378"/>
      <c r="C2411" s="379"/>
      <c r="D2411" s="379"/>
      <c r="E2411" s="379"/>
      <c r="F2411" s="379"/>
      <c r="G2411" s="380"/>
    </row>
    <row r="2412" spans="1:7" s="373" customFormat="1" ht="13.8" x14ac:dyDescent="0.3">
      <c r="A2412" s="378"/>
      <c r="B2412" s="378"/>
      <c r="C2412" s="379"/>
      <c r="D2412" s="379"/>
      <c r="E2412" s="379"/>
      <c r="F2412" s="379"/>
      <c r="G2412" s="380"/>
    </row>
    <row r="2413" spans="1:7" s="373" customFormat="1" ht="13.8" x14ac:dyDescent="0.3">
      <c r="A2413" s="378"/>
      <c r="B2413" s="378"/>
      <c r="C2413" s="379"/>
      <c r="D2413" s="379"/>
      <c r="E2413" s="379"/>
      <c r="F2413" s="379"/>
      <c r="G2413" s="380"/>
    </row>
    <row r="2414" spans="1:7" s="373" customFormat="1" ht="13.8" x14ac:dyDescent="0.3">
      <c r="A2414" s="378"/>
      <c r="B2414" s="378"/>
      <c r="C2414" s="379"/>
      <c r="D2414" s="379"/>
      <c r="E2414" s="379"/>
      <c r="F2414" s="379"/>
      <c r="G2414" s="380"/>
    </row>
    <row r="2415" spans="1:7" s="373" customFormat="1" ht="13.8" x14ac:dyDescent="0.3">
      <c r="A2415" s="378"/>
      <c r="B2415" s="378"/>
      <c r="C2415" s="379"/>
      <c r="D2415" s="379"/>
      <c r="E2415" s="379"/>
      <c r="F2415" s="379"/>
      <c r="G2415" s="380"/>
    </row>
    <row r="2416" spans="1:7" s="373" customFormat="1" ht="13.8" x14ac:dyDescent="0.3">
      <c r="A2416" s="378"/>
      <c r="B2416" s="378"/>
      <c r="C2416" s="379"/>
      <c r="D2416" s="379"/>
      <c r="E2416" s="379"/>
      <c r="F2416" s="379"/>
      <c r="G2416" s="380"/>
    </row>
    <row r="2417" spans="1:7" s="373" customFormat="1" ht="13.8" x14ac:dyDescent="0.3">
      <c r="A2417" s="378"/>
      <c r="B2417" s="378"/>
      <c r="C2417" s="379"/>
      <c r="D2417" s="379"/>
      <c r="E2417" s="379"/>
      <c r="F2417" s="379"/>
      <c r="G2417" s="380"/>
    </row>
    <row r="2418" spans="1:7" s="373" customFormat="1" ht="13.8" x14ac:dyDescent="0.3">
      <c r="A2418" s="378"/>
      <c r="B2418" s="378"/>
      <c r="C2418" s="379"/>
      <c r="D2418" s="379"/>
      <c r="E2418" s="379"/>
      <c r="F2418" s="379"/>
      <c r="G2418" s="380"/>
    </row>
    <row r="2419" spans="1:7" s="373" customFormat="1" ht="13.8" x14ac:dyDescent="0.3">
      <c r="A2419" s="378"/>
      <c r="B2419" s="378"/>
      <c r="C2419" s="379"/>
      <c r="D2419" s="379"/>
      <c r="E2419" s="379"/>
      <c r="F2419" s="379"/>
      <c r="G2419" s="380"/>
    </row>
    <row r="2420" spans="1:7" s="373" customFormat="1" ht="13.8" x14ac:dyDescent="0.3">
      <c r="A2420" s="378"/>
      <c r="B2420" s="378"/>
      <c r="C2420" s="379"/>
      <c r="D2420" s="379"/>
      <c r="E2420" s="379"/>
      <c r="F2420" s="379"/>
      <c r="G2420" s="380"/>
    </row>
    <row r="2421" spans="1:7" s="373" customFormat="1" ht="13.8" x14ac:dyDescent="0.3">
      <c r="A2421" s="378"/>
      <c r="B2421" s="378"/>
      <c r="C2421" s="379"/>
      <c r="D2421" s="379"/>
      <c r="E2421" s="379"/>
      <c r="F2421" s="379"/>
      <c r="G2421" s="380"/>
    </row>
    <row r="2422" spans="1:7" s="373" customFormat="1" ht="13.8" x14ac:dyDescent="0.3">
      <c r="A2422" s="378"/>
      <c r="B2422" s="378"/>
      <c r="C2422" s="379"/>
      <c r="D2422" s="379"/>
      <c r="E2422" s="379"/>
      <c r="F2422" s="379"/>
      <c r="G2422" s="380"/>
    </row>
    <row r="2423" spans="1:7" s="373" customFormat="1" ht="13.8" x14ac:dyDescent="0.3">
      <c r="A2423" s="378"/>
      <c r="B2423" s="378"/>
      <c r="C2423" s="379"/>
      <c r="D2423" s="379"/>
      <c r="E2423" s="379"/>
      <c r="F2423" s="379"/>
      <c r="G2423" s="380"/>
    </row>
    <row r="2424" spans="1:7" s="373" customFormat="1" ht="13.8" x14ac:dyDescent="0.3">
      <c r="A2424" s="378"/>
      <c r="B2424" s="378"/>
      <c r="C2424" s="379"/>
      <c r="D2424" s="379"/>
      <c r="E2424" s="379"/>
      <c r="F2424" s="379"/>
      <c r="G2424" s="380"/>
    </row>
    <row r="2425" spans="1:7" s="373" customFormat="1" ht="13.8" x14ac:dyDescent="0.3">
      <c r="A2425" s="378"/>
      <c r="B2425" s="378"/>
      <c r="C2425" s="379"/>
      <c r="D2425" s="379"/>
      <c r="E2425" s="379"/>
      <c r="F2425" s="379"/>
      <c r="G2425" s="380"/>
    </row>
    <row r="2426" spans="1:7" s="373" customFormat="1" ht="13.8" x14ac:dyDescent="0.3">
      <c r="A2426" s="378"/>
      <c r="B2426" s="378"/>
      <c r="C2426" s="379"/>
      <c r="D2426" s="379"/>
      <c r="E2426" s="379"/>
      <c r="F2426" s="379"/>
      <c r="G2426" s="380"/>
    </row>
    <row r="2427" spans="1:7" s="373" customFormat="1" ht="13.8" x14ac:dyDescent="0.3">
      <c r="A2427" s="378"/>
      <c r="B2427" s="378"/>
      <c r="C2427" s="379"/>
      <c r="D2427" s="379"/>
      <c r="E2427" s="379"/>
      <c r="F2427" s="379"/>
      <c r="G2427" s="380"/>
    </row>
    <row r="2428" spans="1:7" s="373" customFormat="1" ht="13.8" x14ac:dyDescent="0.3">
      <c r="A2428" s="378"/>
      <c r="B2428" s="378"/>
      <c r="C2428" s="379"/>
      <c r="D2428" s="379"/>
      <c r="E2428" s="379"/>
      <c r="F2428" s="379"/>
      <c r="G2428" s="380"/>
    </row>
    <row r="2429" spans="1:7" s="373" customFormat="1" ht="13.8" x14ac:dyDescent="0.3">
      <c r="A2429" s="378"/>
      <c r="B2429" s="378"/>
      <c r="C2429" s="379"/>
      <c r="D2429" s="379"/>
      <c r="E2429" s="379"/>
      <c r="F2429" s="379"/>
      <c r="G2429" s="380"/>
    </row>
    <row r="2430" spans="1:7" s="373" customFormat="1" ht="13.8" x14ac:dyDescent="0.3">
      <c r="A2430" s="378"/>
      <c r="B2430" s="378"/>
      <c r="C2430" s="379"/>
      <c r="D2430" s="379"/>
      <c r="E2430" s="379"/>
      <c r="F2430" s="379"/>
      <c r="G2430" s="380"/>
    </row>
    <row r="2431" spans="1:7" s="373" customFormat="1" ht="13.8" x14ac:dyDescent="0.3">
      <c r="A2431" s="378"/>
      <c r="B2431" s="378"/>
      <c r="C2431" s="379"/>
      <c r="D2431" s="379"/>
      <c r="E2431" s="379"/>
      <c r="F2431" s="379"/>
      <c r="G2431" s="380"/>
    </row>
    <row r="2432" spans="1:7" s="373" customFormat="1" ht="13.8" x14ac:dyDescent="0.3">
      <c r="A2432" s="378"/>
      <c r="B2432" s="378"/>
      <c r="C2432" s="379"/>
      <c r="D2432" s="379"/>
      <c r="E2432" s="379"/>
      <c r="F2432" s="379"/>
      <c r="G2432" s="380"/>
    </row>
    <row r="2433" spans="1:7" s="373" customFormat="1" ht="13.8" x14ac:dyDescent="0.3">
      <c r="A2433" s="378"/>
      <c r="B2433" s="378"/>
      <c r="C2433" s="379"/>
      <c r="D2433" s="379"/>
      <c r="E2433" s="379"/>
      <c r="F2433" s="379"/>
      <c r="G2433" s="380"/>
    </row>
    <row r="2434" spans="1:7" s="373" customFormat="1" ht="13.8" x14ac:dyDescent="0.3">
      <c r="A2434" s="378"/>
      <c r="B2434" s="378"/>
      <c r="C2434" s="379"/>
      <c r="D2434" s="379"/>
      <c r="E2434" s="379"/>
      <c r="F2434" s="379"/>
      <c r="G2434" s="380"/>
    </row>
    <row r="2435" spans="1:7" s="373" customFormat="1" ht="13.8" x14ac:dyDescent="0.3">
      <c r="A2435" s="378"/>
      <c r="B2435" s="378"/>
      <c r="C2435" s="379"/>
      <c r="D2435" s="379"/>
      <c r="E2435" s="379"/>
      <c r="F2435" s="379"/>
      <c r="G2435" s="380"/>
    </row>
    <row r="2436" spans="1:7" s="373" customFormat="1" ht="13.8" x14ac:dyDescent="0.3">
      <c r="A2436" s="378"/>
      <c r="B2436" s="378"/>
      <c r="C2436" s="379"/>
      <c r="D2436" s="379"/>
      <c r="E2436" s="379"/>
      <c r="F2436" s="379"/>
      <c r="G2436" s="380"/>
    </row>
    <row r="2437" spans="1:7" s="373" customFormat="1" ht="13.8" x14ac:dyDescent="0.3">
      <c r="A2437" s="378"/>
      <c r="B2437" s="378"/>
      <c r="C2437" s="379"/>
      <c r="D2437" s="379"/>
      <c r="E2437" s="379"/>
      <c r="F2437" s="379"/>
      <c r="G2437" s="380"/>
    </row>
    <row r="2438" spans="1:7" s="373" customFormat="1" ht="13.8" x14ac:dyDescent="0.3">
      <c r="A2438" s="378"/>
      <c r="B2438" s="378"/>
      <c r="C2438" s="379"/>
      <c r="D2438" s="379"/>
      <c r="E2438" s="379"/>
      <c r="F2438" s="379"/>
      <c r="G2438" s="380"/>
    </row>
    <row r="2439" spans="1:7" s="373" customFormat="1" ht="13.8" x14ac:dyDescent="0.3">
      <c r="A2439" s="378"/>
      <c r="B2439" s="378"/>
      <c r="C2439" s="379"/>
      <c r="D2439" s="379"/>
      <c r="E2439" s="379"/>
      <c r="F2439" s="379"/>
      <c r="G2439" s="380"/>
    </row>
    <row r="2440" spans="1:7" s="373" customFormat="1" ht="13.8" x14ac:dyDescent="0.3">
      <c r="A2440" s="378"/>
      <c r="B2440" s="378"/>
      <c r="C2440" s="379"/>
      <c r="D2440" s="379"/>
      <c r="E2440" s="379"/>
      <c r="F2440" s="379"/>
      <c r="G2440" s="380"/>
    </row>
    <row r="2441" spans="1:7" s="373" customFormat="1" ht="13.8" x14ac:dyDescent="0.3">
      <c r="A2441" s="378"/>
      <c r="B2441" s="378"/>
      <c r="C2441" s="379"/>
      <c r="D2441" s="379"/>
      <c r="E2441" s="379"/>
      <c r="F2441" s="379"/>
      <c r="G2441" s="380"/>
    </row>
    <row r="2442" spans="1:7" s="373" customFormat="1" ht="13.8" x14ac:dyDescent="0.3">
      <c r="A2442" s="378"/>
      <c r="B2442" s="378"/>
      <c r="C2442" s="379"/>
      <c r="D2442" s="379"/>
      <c r="E2442" s="379"/>
      <c r="F2442" s="379"/>
      <c r="G2442" s="380"/>
    </row>
    <row r="2443" spans="1:7" s="373" customFormat="1" ht="13.8" x14ac:dyDescent="0.3">
      <c r="A2443" s="378"/>
      <c r="B2443" s="378"/>
      <c r="C2443" s="379"/>
      <c r="D2443" s="379"/>
      <c r="E2443" s="379"/>
      <c r="F2443" s="379"/>
      <c r="G2443" s="380"/>
    </row>
    <row r="2444" spans="1:7" s="373" customFormat="1" ht="13.8" x14ac:dyDescent="0.3">
      <c r="A2444" s="378"/>
      <c r="B2444" s="378"/>
      <c r="C2444" s="379"/>
      <c r="D2444" s="379"/>
      <c r="E2444" s="379"/>
      <c r="F2444" s="379"/>
      <c r="G2444" s="380"/>
    </row>
    <row r="2445" spans="1:7" s="373" customFormat="1" ht="13.8" x14ac:dyDescent="0.3">
      <c r="A2445" s="378"/>
      <c r="B2445" s="378"/>
      <c r="C2445" s="379"/>
      <c r="D2445" s="379"/>
      <c r="E2445" s="379"/>
      <c r="F2445" s="379"/>
      <c r="G2445" s="380"/>
    </row>
    <row r="2446" spans="1:7" s="373" customFormat="1" ht="13.8" x14ac:dyDescent="0.3">
      <c r="A2446" s="378"/>
      <c r="B2446" s="378"/>
      <c r="C2446" s="379"/>
      <c r="D2446" s="379"/>
      <c r="E2446" s="379"/>
      <c r="F2446" s="379"/>
      <c r="G2446" s="380"/>
    </row>
    <row r="2447" spans="1:7" s="373" customFormat="1" ht="13.8" x14ac:dyDescent="0.3">
      <c r="A2447" s="378"/>
      <c r="B2447" s="378"/>
      <c r="C2447" s="379"/>
      <c r="D2447" s="379"/>
      <c r="E2447" s="379"/>
      <c r="F2447" s="379"/>
      <c r="G2447" s="380"/>
    </row>
    <row r="2448" spans="1:7" s="373" customFormat="1" ht="13.8" x14ac:dyDescent="0.3">
      <c r="A2448" s="378"/>
      <c r="B2448" s="378"/>
      <c r="C2448" s="379"/>
      <c r="D2448" s="379"/>
      <c r="E2448" s="379"/>
      <c r="F2448" s="379"/>
      <c r="G2448" s="380"/>
    </row>
    <row r="2449" spans="1:7" s="373" customFormat="1" ht="13.8" x14ac:dyDescent="0.3">
      <c r="A2449" s="378"/>
      <c r="B2449" s="378"/>
      <c r="C2449" s="379"/>
      <c r="D2449" s="379"/>
      <c r="E2449" s="379"/>
      <c r="F2449" s="379"/>
      <c r="G2449" s="380"/>
    </row>
    <row r="2450" spans="1:7" s="373" customFormat="1" ht="13.8" x14ac:dyDescent="0.3">
      <c r="A2450" s="378"/>
      <c r="B2450" s="378"/>
      <c r="C2450" s="379"/>
      <c r="D2450" s="379"/>
      <c r="E2450" s="379"/>
      <c r="F2450" s="379"/>
      <c r="G2450" s="380"/>
    </row>
    <row r="2451" spans="1:7" s="373" customFormat="1" ht="13.8" x14ac:dyDescent="0.3">
      <c r="A2451" s="378"/>
      <c r="B2451" s="378"/>
      <c r="C2451" s="379"/>
      <c r="D2451" s="379"/>
      <c r="E2451" s="379"/>
      <c r="F2451" s="379"/>
      <c r="G2451" s="380"/>
    </row>
    <row r="2452" spans="1:7" s="373" customFormat="1" ht="13.8" x14ac:dyDescent="0.3">
      <c r="A2452" s="378"/>
      <c r="B2452" s="378"/>
      <c r="C2452" s="379"/>
      <c r="D2452" s="379"/>
      <c r="E2452" s="379"/>
      <c r="F2452" s="379"/>
      <c r="G2452" s="380"/>
    </row>
    <row r="2453" spans="1:7" s="373" customFormat="1" ht="13.8" x14ac:dyDescent="0.3">
      <c r="A2453" s="378"/>
      <c r="B2453" s="378"/>
      <c r="C2453" s="379"/>
      <c r="D2453" s="379"/>
      <c r="E2453" s="379"/>
      <c r="F2453" s="379"/>
      <c r="G2453" s="380"/>
    </row>
    <row r="2454" spans="1:7" s="373" customFormat="1" ht="13.8" x14ac:dyDescent="0.3">
      <c r="A2454" s="378"/>
      <c r="B2454" s="378"/>
      <c r="C2454" s="379"/>
      <c r="D2454" s="379"/>
      <c r="E2454" s="379"/>
      <c r="F2454" s="379"/>
      <c r="G2454" s="380"/>
    </row>
    <row r="2455" spans="1:7" s="373" customFormat="1" ht="13.8" x14ac:dyDescent="0.3">
      <c r="A2455" s="378"/>
      <c r="B2455" s="378"/>
      <c r="C2455" s="379"/>
      <c r="D2455" s="379"/>
      <c r="E2455" s="379"/>
      <c r="F2455" s="379"/>
      <c r="G2455" s="380"/>
    </row>
    <row r="2456" spans="1:7" s="373" customFormat="1" ht="13.8" x14ac:dyDescent="0.3">
      <c r="A2456" s="378"/>
      <c r="B2456" s="378"/>
      <c r="C2456" s="379"/>
      <c r="D2456" s="379"/>
      <c r="E2456" s="379"/>
      <c r="F2456" s="379"/>
      <c r="G2456" s="380"/>
    </row>
    <row r="2457" spans="1:7" s="373" customFormat="1" ht="13.8" x14ac:dyDescent="0.3">
      <c r="A2457" s="378"/>
      <c r="B2457" s="378"/>
      <c r="C2457" s="379"/>
      <c r="D2457" s="379"/>
      <c r="E2457" s="379"/>
      <c r="F2457" s="379"/>
      <c r="G2457" s="380"/>
    </row>
    <row r="2458" spans="1:7" s="373" customFormat="1" ht="13.8" x14ac:dyDescent="0.3">
      <c r="A2458" s="378"/>
      <c r="B2458" s="378"/>
      <c r="C2458" s="379"/>
      <c r="D2458" s="379"/>
      <c r="E2458" s="379"/>
      <c r="F2458" s="379"/>
      <c r="G2458" s="380"/>
    </row>
    <row r="2459" spans="1:7" s="373" customFormat="1" ht="13.8" x14ac:dyDescent="0.3">
      <c r="A2459" s="378"/>
      <c r="B2459" s="378"/>
      <c r="C2459" s="379"/>
      <c r="D2459" s="379"/>
      <c r="E2459" s="379"/>
      <c r="F2459" s="379"/>
      <c r="G2459" s="380"/>
    </row>
    <row r="2460" spans="1:7" s="373" customFormat="1" ht="13.8" x14ac:dyDescent="0.3">
      <c r="A2460" s="378"/>
      <c r="B2460" s="378"/>
      <c r="C2460" s="379"/>
      <c r="D2460" s="379"/>
      <c r="E2460" s="379"/>
      <c r="F2460" s="379"/>
      <c r="G2460" s="380"/>
    </row>
    <row r="2461" spans="1:7" s="373" customFormat="1" ht="13.8" x14ac:dyDescent="0.3">
      <c r="A2461" s="378"/>
      <c r="B2461" s="378"/>
      <c r="C2461" s="379"/>
      <c r="D2461" s="379"/>
      <c r="E2461" s="379"/>
      <c r="F2461" s="379"/>
      <c r="G2461" s="380"/>
    </row>
    <row r="2462" spans="1:7" s="373" customFormat="1" ht="13.8" x14ac:dyDescent="0.3">
      <c r="A2462" s="378"/>
      <c r="B2462" s="378"/>
      <c r="C2462" s="379"/>
      <c r="D2462" s="379"/>
      <c r="E2462" s="379"/>
      <c r="F2462" s="379"/>
      <c r="G2462" s="380"/>
    </row>
    <row r="2463" spans="1:7" s="373" customFormat="1" ht="13.8" x14ac:dyDescent="0.3">
      <c r="A2463" s="378"/>
      <c r="B2463" s="378"/>
      <c r="C2463" s="379"/>
      <c r="D2463" s="379"/>
      <c r="E2463" s="379"/>
      <c r="F2463" s="379"/>
      <c r="G2463" s="380"/>
    </row>
    <row r="2464" spans="1:7" s="373" customFormat="1" ht="13.8" x14ac:dyDescent="0.3">
      <c r="A2464" s="378"/>
      <c r="B2464" s="378"/>
      <c r="C2464" s="379"/>
      <c r="D2464" s="379"/>
      <c r="E2464" s="379"/>
      <c r="F2464" s="379"/>
      <c r="G2464" s="380"/>
    </row>
    <row r="2465" spans="1:7" s="373" customFormat="1" ht="13.8" x14ac:dyDescent="0.3">
      <c r="A2465" s="378"/>
      <c r="B2465" s="378"/>
      <c r="C2465" s="379"/>
      <c r="D2465" s="379"/>
      <c r="E2465" s="379"/>
      <c r="F2465" s="379"/>
      <c r="G2465" s="380"/>
    </row>
    <row r="2466" spans="1:7" s="373" customFormat="1" ht="13.8" x14ac:dyDescent="0.3">
      <c r="A2466" s="378"/>
      <c r="B2466" s="378"/>
      <c r="C2466" s="379"/>
      <c r="D2466" s="379"/>
      <c r="E2466" s="379"/>
      <c r="F2466" s="379"/>
      <c r="G2466" s="380"/>
    </row>
    <row r="2467" spans="1:7" s="373" customFormat="1" ht="13.8" x14ac:dyDescent="0.3">
      <c r="A2467" s="378"/>
      <c r="B2467" s="378"/>
      <c r="C2467" s="379"/>
      <c r="D2467" s="379"/>
      <c r="E2467" s="379"/>
      <c r="F2467" s="379"/>
      <c r="G2467" s="380"/>
    </row>
    <row r="2468" spans="1:7" s="373" customFormat="1" ht="13.8" x14ac:dyDescent="0.3">
      <c r="A2468" s="378"/>
      <c r="B2468" s="378"/>
      <c r="C2468" s="379"/>
      <c r="D2468" s="379"/>
      <c r="E2468" s="379"/>
      <c r="F2468" s="379"/>
      <c r="G2468" s="380"/>
    </row>
    <row r="2469" spans="1:7" s="373" customFormat="1" ht="13.8" x14ac:dyDescent="0.3">
      <c r="A2469" s="378"/>
      <c r="B2469" s="378"/>
      <c r="C2469" s="379"/>
      <c r="D2469" s="379"/>
      <c r="E2469" s="379"/>
      <c r="F2469" s="379"/>
      <c r="G2469" s="380"/>
    </row>
    <row r="2470" spans="1:7" s="373" customFormat="1" ht="13.8" x14ac:dyDescent="0.3">
      <c r="A2470" s="378"/>
      <c r="B2470" s="378"/>
      <c r="C2470" s="379"/>
      <c r="D2470" s="379"/>
      <c r="E2470" s="379"/>
      <c r="F2470" s="379"/>
      <c r="G2470" s="380"/>
    </row>
    <row r="2471" spans="1:7" s="373" customFormat="1" ht="13.8" x14ac:dyDescent="0.3">
      <c r="A2471" s="378"/>
      <c r="B2471" s="378"/>
      <c r="C2471" s="379"/>
      <c r="D2471" s="379"/>
      <c r="E2471" s="379"/>
      <c r="F2471" s="379"/>
      <c r="G2471" s="380"/>
    </row>
    <row r="2472" spans="1:7" s="373" customFormat="1" ht="13.8" x14ac:dyDescent="0.3">
      <c r="A2472" s="378"/>
      <c r="B2472" s="378"/>
      <c r="C2472" s="379"/>
      <c r="D2472" s="379"/>
      <c r="E2472" s="379"/>
      <c r="F2472" s="379"/>
      <c r="G2472" s="380"/>
    </row>
    <row r="2473" spans="1:7" s="373" customFormat="1" ht="13.8" x14ac:dyDescent="0.3">
      <c r="A2473" s="378"/>
      <c r="B2473" s="378"/>
      <c r="C2473" s="379"/>
      <c r="D2473" s="379"/>
      <c r="E2473" s="379"/>
      <c r="F2473" s="379"/>
      <c r="G2473" s="380"/>
    </row>
    <row r="2474" spans="1:7" s="373" customFormat="1" ht="13.8" x14ac:dyDescent="0.3">
      <c r="A2474" s="378"/>
      <c r="B2474" s="378"/>
      <c r="C2474" s="379"/>
      <c r="D2474" s="379"/>
      <c r="E2474" s="379"/>
      <c r="F2474" s="379"/>
      <c r="G2474" s="380"/>
    </row>
    <row r="2475" spans="1:7" s="373" customFormat="1" ht="13.8" x14ac:dyDescent="0.3">
      <c r="A2475" s="378"/>
      <c r="B2475" s="378"/>
      <c r="C2475" s="379"/>
      <c r="D2475" s="379"/>
      <c r="E2475" s="379"/>
      <c r="F2475" s="379"/>
      <c r="G2475" s="380"/>
    </row>
    <row r="2476" spans="1:7" s="373" customFormat="1" ht="13.8" x14ac:dyDescent="0.3">
      <c r="A2476" s="378"/>
      <c r="B2476" s="378"/>
      <c r="C2476" s="379"/>
      <c r="D2476" s="379"/>
      <c r="E2476" s="379"/>
      <c r="F2476" s="379"/>
      <c r="G2476" s="380"/>
    </row>
    <row r="2477" spans="1:7" s="373" customFormat="1" ht="13.8" x14ac:dyDescent="0.3">
      <c r="A2477" s="378"/>
      <c r="B2477" s="378"/>
      <c r="C2477" s="379"/>
      <c r="D2477" s="379"/>
      <c r="E2477" s="379"/>
      <c r="F2477" s="379"/>
      <c r="G2477" s="380"/>
    </row>
    <row r="2478" spans="1:7" s="373" customFormat="1" ht="13.8" x14ac:dyDescent="0.3">
      <c r="A2478" s="378"/>
      <c r="B2478" s="378"/>
      <c r="C2478" s="379"/>
      <c r="D2478" s="379"/>
      <c r="E2478" s="379"/>
      <c r="F2478" s="379"/>
      <c r="G2478" s="380"/>
    </row>
    <row r="2479" spans="1:7" s="373" customFormat="1" ht="13.8" x14ac:dyDescent="0.3">
      <c r="A2479" s="378"/>
      <c r="B2479" s="378"/>
      <c r="C2479" s="379"/>
      <c r="D2479" s="379"/>
      <c r="E2479" s="379"/>
      <c r="F2479" s="379"/>
      <c r="G2479" s="380"/>
    </row>
    <row r="2480" spans="1:7" s="373" customFormat="1" ht="13.8" x14ac:dyDescent="0.3">
      <c r="A2480" s="378"/>
      <c r="B2480" s="378"/>
      <c r="C2480" s="379"/>
      <c r="D2480" s="379"/>
      <c r="E2480" s="379"/>
      <c r="F2480" s="379"/>
      <c r="G2480" s="380"/>
    </row>
    <row r="2481" spans="1:7" s="373" customFormat="1" ht="13.8" x14ac:dyDescent="0.3">
      <c r="A2481" s="378"/>
      <c r="B2481" s="378"/>
      <c r="C2481" s="379"/>
      <c r="D2481" s="379"/>
      <c r="E2481" s="379"/>
      <c r="F2481" s="379"/>
      <c r="G2481" s="380"/>
    </row>
    <row r="2482" spans="1:7" s="373" customFormat="1" ht="13.8" x14ac:dyDescent="0.3">
      <c r="A2482" s="378"/>
      <c r="B2482" s="378"/>
      <c r="C2482" s="379"/>
      <c r="D2482" s="379"/>
      <c r="E2482" s="379"/>
      <c r="F2482" s="379"/>
      <c r="G2482" s="380"/>
    </row>
    <row r="2483" spans="1:7" s="373" customFormat="1" ht="13.8" x14ac:dyDescent="0.3">
      <c r="A2483" s="378"/>
      <c r="B2483" s="378"/>
      <c r="C2483" s="379"/>
      <c r="D2483" s="379"/>
      <c r="E2483" s="379"/>
      <c r="F2483" s="379"/>
      <c r="G2483" s="380"/>
    </row>
    <row r="2484" spans="1:7" s="373" customFormat="1" ht="13.8" x14ac:dyDescent="0.3">
      <c r="A2484" s="378"/>
      <c r="B2484" s="378"/>
      <c r="C2484" s="379"/>
      <c r="D2484" s="379"/>
      <c r="E2484" s="379"/>
      <c r="F2484" s="379"/>
      <c r="G2484" s="380"/>
    </row>
    <row r="2485" spans="1:7" s="373" customFormat="1" ht="13.8" x14ac:dyDescent="0.3">
      <c r="A2485" s="378"/>
      <c r="B2485" s="378"/>
      <c r="C2485" s="379"/>
      <c r="D2485" s="379"/>
      <c r="E2485" s="379"/>
      <c r="F2485" s="379"/>
      <c r="G2485" s="380"/>
    </row>
    <row r="2486" spans="1:7" s="373" customFormat="1" ht="13.8" x14ac:dyDescent="0.3">
      <c r="A2486" s="378"/>
      <c r="B2486" s="378"/>
      <c r="C2486" s="379"/>
      <c r="D2486" s="379"/>
      <c r="E2486" s="379"/>
      <c r="F2486" s="379"/>
      <c r="G2486" s="380"/>
    </row>
    <row r="2487" spans="1:7" s="373" customFormat="1" ht="13.8" x14ac:dyDescent="0.3">
      <c r="A2487" s="378"/>
      <c r="B2487" s="378"/>
      <c r="C2487" s="379"/>
      <c r="D2487" s="379"/>
      <c r="E2487" s="379"/>
      <c r="F2487" s="379"/>
      <c r="G2487" s="380"/>
    </row>
    <row r="2488" spans="1:7" s="373" customFormat="1" ht="13.8" x14ac:dyDescent="0.3">
      <c r="A2488" s="378"/>
      <c r="B2488" s="378"/>
      <c r="C2488" s="379"/>
      <c r="D2488" s="379"/>
      <c r="E2488" s="379"/>
      <c r="F2488" s="379"/>
      <c r="G2488" s="380"/>
    </row>
    <row r="2489" spans="1:7" s="373" customFormat="1" ht="13.8" x14ac:dyDescent="0.3">
      <c r="A2489" s="378"/>
      <c r="B2489" s="378"/>
      <c r="C2489" s="379"/>
      <c r="D2489" s="379"/>
      <c r="E2489" s="379"/>
      <c r="F2489" s="379"/>
      <c r="G2489" s="380"/>
    </row>
    <row r="2490" spans="1:7" s="373" customFormat="1" ht="13.8" x14ac:dyDescent="0.3">
      <c r="A2490" s="378"/>
      <c r="B2490" s="378"/>
      <c r="C2490" s="379"/>
      <c r="D2490" s="379"/>
      <c r="E2490" s="379"/>
      <c r="F2490" s="379"/>
      <c r="G2490" s="380"/>
    </row>
    <row r="2491" spans="1:7" s="373" customFormat="1" ht="13.8" x14ac:dyDescent="0.3">
      <c r="A2491" s="378"/>
      <c r="B2491" s="378"/>
      <c r="C2491" s="379"/>
      <c r="D2491" s="379"/>
      <c r="E2491" s="379"/>
      <c r="F2491" s="379"/>
      <c r="G2491" s="380"/>
    </row>
    <row r="2492" spans="1:7" s="373" customFormat="1" ht="13.8" x14ac:dyDescent="0.3">
      <c r="A2492" s="378"/>
      <c r="B2492" s="378"/>
      <c r="C2492" s="379"/>
      <c r="D2492" s="379"/>
      <c r="E2492" s="379"/>
      <c r="F2492" s="379"/>
      <c r="G2492" s="380"/>
    </row>
    <row r="2493" spans="1:7" s="373" customFormat="1" ht="13.8" x14ac:dyDescent="0.3">
      <c r="A2493" s="378"/>
      <c r="B2493" s="378"/>
      <c r="C2493" s="379"/>
      <c r="D2493" s="379"/>
      <c r="E2493" s="379"/>
      <c r="F2493" s="379"/>
      <c r="G2493" s="380"/>
    </row>
    <row r="2494" spans="1:7" s="373" customFormat="1" ht="13.8" x14ac:dyDescent="0.3">
      <c r="A2494" s="378"/>
      <c r="B2494" s="378"/>
      <c r="C2494" s="379"/>
      <c r="D2494" s="379"/>
      <c r="E2494" s="379"/>
      <c r="F2494" s="379"/>
      <c r="G2494" s="380"/>
    </row>
    <row r="2495" spans="1:7" s="373" customFormat="1" ht="13.8" x14ac:dyDescent="0.3">
      <c r="A2495" s="378"/>
      <c r="B2495" s="378"/>
      <c r="C2495" s="379"/>
      <c r="D2495" s="379"/>
      <c r="E2495" s="379"/>
      <c r="F2495" s="379"/>
      <c r="G2495" s="380"/>
    </row>
    <row r="2496" spans="1:7" s="373" customFormat="1" ht="13.8" x14ac:dyDescent="0.3">
      <c r="A2496" s="378"/>
      <c r="B2496" s="378"/>
      <c r="C2496" s="379"/>
      <c r="D2496" s="379"/>
      <c r="E2496" s="379"/>
      <c r="F2496" s="379"/>
      <c r="G2496" s="380"/>
    </row>
    <row r="2497" spans="1:7" s="373" customFormat="1" ht="13.8" x14ac:dyDescent="0.3">
      <c r="A2497" s="378"/>
      <c r="B2497" s="378"/>
      <c r="C2497" s="379"/>
      <c r="D2497" s="379"/>
      <c r="E2497" s="379"/>
      <c r="F2497" s="379"/>
      <c r="G2497" s="380"/>
    </row>
    <row r="2498" spans="1:7" s="373" customFormat="1" ht="13.8" x14ac:dyDescent="0.3">
      <c r="A2498" s="378"/>
      <c r="B2498" s="378"/>
      <c r="C2498" s="379"/>
      <c r="D2498" s="379"/>
      <c r="E2498" s="379"/>
      <c r="F2498" s="379"/>
      <c r="G2498" s="380"/>
    </row>
    <row r="2499" spans="1:7" s="373" customFormat="1" ht="13.8" x14ac:dyDescent="0.3">
      <c r="A2499" s="378"/>
      <c r="B2499" s="378"/>
      <c r="C2499" s="379"/>
      <c r="D2499" s="379"/>
      <c r="E2499" s="379"/>
      <c r="F2499" s="379"/>
      <c r="G2499" s="380"/>
    </row>
    <row r="2500" spans="1:7" s="373" customFormat="1" ht="13.8" x14ac:dyDescent="0.3">
      <c r="A2500" s="378"/>
      <c r="B2500" s="378"/>
      <c r="C2500" s="379"/>
      <c r="D2500" s="379"/>
      <c r="E2500" s="379"/>
      <c r="F2500" s="379"/>
      <c r="G2500" s="380"/>
    </row>
    <row r="2501" spans="1:7" s="373" customFormat="1" ht="13.8" x14ac:dyDescent="0.3">
      <c r="A2501" s="378"/>
      <c r="B2501" s="378"/>
      <c r="C2501" s="379"/>
      <c r="D2501" s="379"/>
      <c r="E2501" s="379"/>
      <c r="F2501" s="379"/>
      <c r="G2501" s="380"/>
    </row>
    <row r="2502" spans="1:7" s="373" customFormat="1" ht="13.8" x14ac:dyDescent="0.3">
      <c r="A2502" s="378"/>
      <c r="B2502" s="378"/>
      <c r="C2502" s="379"/>
      <c r="D2502" s="379"/>
      <c r="E2502" s="379"/>
      <c r="F2502" s="379"/>
      <c r="G2502" s="380"/>
    </row>
    <row r="2503" spans="1:7" s="373" customFormat="1" ht="13.8" x14ac:dyDescent="0.3">
      <c r="A2503" s="378"/>
      <c r="B2503" s="378"/>
      <c r="C2503" s="379"/>
      <c r="D2503" s="379"/>
      <c r="E2503" s="379"/>
      <c r="F2503" s="379"/>
      <c r="G2503" s="380"/>
    </row>
    <row r="2504" spans="1:7" s="373" customFormat="1" ht="13.8" x14ac:dyDescent="0.3">
      <c r="A2504" s="378"/>
      <c r="B2504" s="378"/>
      <c r="C2504" s="379"/>
      <c r="D2504" s="379"/>
      <c r="E2504" s="379"/>
      <c r="F2504" s="379"/>
      <c r="G2504" s="380"/>
    </row>
    <row r="2505" spans="1:7" s="373" customFormat="1" ht="13.8" x14ac:dyDescent="0.3">
      <c r="A2505" s="378"/>
      <c r="B2505" s="378"/>
      <c r="C2505" s="379"/>
      <c r="D2505" s="379"/>
      <c r="E2505" s="379"/>
      <c r="F2505" s="379"/>
      <c r="G2505" s="380"/>
    </row>
    <row r="2506" spans="1:7" s="373" customFormat="1" ht="13.8" x14ac:dyDescent="0.3">
      <c r="A2506" s="378"/>
      <c r="B2506" s="378"/>
      <c r="C2506" s="379"/>
      <c r="D2506" s="379"/>
      <c r="E2506" s="379"/>
      <c r="F2506" s="379"/>
      <c r="G2506" s="380"/>
    </row>
    <row r="2507" spans="1:7" s="373" customFormat="1" ht="13.8" x14ac:dyDescent="0.3">
      <c r="A2507" s="378"/>
      <c r="B2507" s="378"/>
      <c r="C2507" s="379"/>
      <c r="D2507" s="379"/>
      <c r="E2507" s="379"/>
      <c r="F2507" s="379"/>
      <c r="G2507" s="380"/>
    </row>
    <row r="2508" spans="1:7" s="373" customFormat="1" ht="13.8" x14ac:dyDescent="0.3">
      <c r="A2508" s="378"/>
      <c r="B2508" s="378"/>
      <c r="C2508" s="379"/>
      <c r="D2508" s="379"/>
      <c r="E2508" s="379"/>
      <c r="F2508" s="379"/>
      <c r="G2508" s="380"/>
    </row>
    <row r="2509" spans="1:7" s="373" customFormat="1" ht="13.8" x14ac:dyDescent="0.3">
      <c r="A2509" s="378"/>
      <c r="B2509" s="378"/>
      <c r="C2509" s="379"/>
      <c r="D2509" s="379"/>
      <c r="E2509" s="379"/>
      <c r="F2509" s="379"/>
      <c r="G2509" s="380"/>
    </row>
    <row r="2510" spans="1:7" s="373" customFormat="1" ht="13.8" x14ac:dyDescent="0.3">
      <c r="A2510" s="378"/>
      <c r="B2510" s="378"/>
      <c r="C2510" s="379"/>
      <c r="D2510" s="379"/>
      <c r="E2510" s="379"/>
      <c r="F2510" s="379"/>
      <c r="G2510" s="380"/>
    </row>
    <row r="2511" spans="1:7" s="373" customFormat="1" ht="13.8" x14ac:dyDescent="0.3">
      <c r="A2511" s="378"/>
      <c r="B2511" s="378"/>
      <c r="C2511" s="379"/>
      <c r="D2511" s="379"/>
      <c r="E2511" s="379"/>
      <c r="F2511" s="379"/>
      <c r="G2511" s="380"/>
    </row>
    <row r="2512" spans="1:7" s="373" customFormat="1" ht="13.8" x14ac:dyDescent="0.3">
      <c r="A2512" s="378"/>
      <c r="B2512" s="378"/>
      <c r="C2512" s="379"/>
      <c r="D2512" s="379"/>
      <c r="E2512" s="379"/>
      <c r="F2512" s="379"/>
      <c r="G2512" s="380"/>
    </row>
    <row r="2513" spans="1:7" s="373" customFormat="1" ht="13.8" x14ac:dyDescent="0.3">
      <c r="A2513" s="378"/>
      <c r="B2513" s="378"/>
      <c r="C2513" s="379"/>
      <c r="D2513" s="379"/>
      <c r="E2513" s="379"/>
      <c r="F2513" s="379"/>
      <c r="G2513" s="380"/>
    </row>
    <row r="2514" spans="1:7" s="373" customFormat="1" ht="13.8" x14ac:dyDescent="0.3">
      <c r="A2514" s="378"/>
      <c r="B2514" s="378"/>
      <c r="C2514" s="379"/>
      <c r="D2514" s="379"/>
      <c r="E2514" s="379"/>
      <c r="F2514" s="379"/>
      <c r="G2514" s="380"/>
    </row>
    <row r="2515" spans="1:7" s="373" customFormat="1" ht="13.8" x14ac:dyDescent="0.3">
      <c r="A2515" s="378"/>
      <c r="B2515" s="378"/>
      <c r="C2515" s="379"/>
      <c r="D2515" s="379"/>
      <c r="E2515" s="379"/>
      <c r="F2515" s="379"/>
      <c r="G2515" s="380"/>
    </row>
    <row r="2516" spans="1:7" s="373" customFormat="1" ht="13.8" x14ac:dyDescent="0.3">
      <c r="A2516" s="378"/>
      <c r="B2516" s="378"/>
      <c r="C2516" s="379"/>
      <c r="D2516" s="379"/>
      <c r="E2516" s="379"/>
      <c r="F2516" s="379"/>
      <c r="G2516" s="380"/>
    </row>
    <row r="2517" spans="1:7" s="373" customFormat="1" ht="13.8" x14ac:dyDescent="0.3">
      <c r="A2517" s="378"/>
      <c r="B2517" s="378"/>
      <c r="C2517" s="379"/>
      <c r="D2517" s="379"/>
      <c r="E2517" s="379"/>
      <c r="F2517" s="379"/>
      <c r="G2517" s="380"/>
    </row>
    <row r="2518" spans="1:7" s="373" customFormat="1" ht="13.8" x14ac:dyDescent="0.3">
      <c r="A2518" s="378"/>
      <c r="B2518" s="378"/>
      <c r="C2518" s="379"/>
      <c r="D2518" s="379"/>
      <c r="E2518" s="379"/>
      <c r="F2518" s="379"/>
      <c r="G2518" s="380"/>
    </row>
    <row r="2519" spans="1:7" s="373" customFormat="1" ht="13.8" x14ac:dyDescent="0.3">
      <c r="A2519" s="378"/>
      <c r="B2519" s="378"/>
      <c r="C2519" s="379"/>
      <c r="D2519" s="379"/>
      <c r="E2519" s="379"/>
      <c r="F2519" s="379"/>
      <c r="G2519" s="380"/>
    </row>
    <row r="2520" spans="1:7" s="373" customFormat="1" ht="13.8" x14ac:dyDescent="0.3">
      <c r="A2520" s="378"/>
      <c r="B2520" s="378"/>
      <c r="C2520" s="379"/>
      <c r="D2520" s="379"/>
      <c r="E2520" s="379"/>
      <c r="F2520" s="379"/>
      <c r="G2520" s="380"/>
    </row>
    <row r="2521" spans="1:7" s="373" customFormat="1" ht="13.8" x14ac:dyDescent="0.3">
      <c r="A2521" s="378"/>
      <c r="B2521" s="378"/>
      <c r="C2521" s="379"/>
      <c r="D2521" s="379"/>
      <c r="E2521" s="379"/>
      <c r="F2521" s="379"/>
      <c r="G2521" s="380"/>
    </row>
    <row r="2522" spans="1:7" s="373" customFormat="1" ht="13.8" x14ac:dyDescent="0.3">
      <c r="A2522" s="378"/>
      <c r="B2522" s="378"/>
      <c r="C2522" s="379"/>
      <c r="D2522" s="379"/>
      <c r="E2522" s="379"/>
      <c r="F2522" s="379"/>
      <c r="G2522" s="380"/>
    </row>
    <row r="2523" spans="1:7" s="373" customFormat="1" ht="13.8" x14ac:dyDescent="0.3">
      <c r="A2523" s="378"/>
      <c r="B2523" s="378"/>
      <c r="C2523" s="379"/>
      <c r="D2523" s="379"/>
      <c r="E2523" s="379"/>
      <c r="F2523" s="379"/>
      <c r="G2523" s="380"/>
    </row>
    <row r="2524" spans="1:7" s="373" customFormat="1" ht="13.8" x14ac:dyDescent="0.3">
      <c r="A2524" s="378"/>
      <c r="B2524" s="378"/>
      <c r="C2524" s="379"/>
      <c r="D2524" s="379"/>
      <c r="E2524" s="379"/>
      <c r="F2524" s="379"/>
      <c r="G2524" s="380"/>
    </row>
    <row r="2525" spans="1:7" s="373" customFormat="1" ht="13.8" x14ac:dyDescent="0.3">
      <c r="A2525" s="378"/>
      <c r="B2525" s="378"/>
      <c r="C2525" s="379"/>
      <c r="D2525" s="379"/>
      <c r="E2525" s="379"/>
      <c r="F2525" s="379"/>
      <c r="G2525" s="380"/>
    </row>
    <row r="2526" spans="1:7" s="373" customFormat="1" ht="13.8" x14ac:dyDescent="0.3">
      <c r="A2526" s="378"/>
      <c r="B2526" s="378"/>
      <c r="C2526" s="379"/>
      <c r="D2526" s="379"/>
      <c r="E2526" s="379"/>
      <c r="F2526" s="379"/>
      <c r="G2526" s="380"/>
    </row>
    <row r="2527" spans="1:7" s="373" customFormat="1" ht="13.8" x14ac:dyDescent="0.3">
      <c r="A2527" s="378"/>
      <c r="B2527" s="378"/>
      <c r="C2527" s="379"/>
      <c r="D2527" s="379"/>
      <c r="E2527" s="379"/>
      <c r="F2527" s="379"/>
      <c r="G2527" s="380"/>
    </row>
    <row r="2528" spans="1:7" s="373" customFormat="1" ht="13.8" x14ac:dyDescent="0.3">
      <c r="A2528" s="378"/>
      <c r="B2528" s="378"/>
      <c r="C2528" s="379"/>
      <c r="D2528" s="379"/>
      <c r="E2528" s="379"/>
      <c r="F2528" s="379"/>
      <c r="G2528" s="380"/>
    </row>
    <row r="2529" spans="1:7" s="373" customFormat="1" ht="13.8" x14ac:dyDescent="0.3">
      <c r="A2529" s="378"/>
      <c r="B2529" s="378"/>
      <c r="C2529" s="379"/>
      <c r="D2529" s="379"/>
      <c r="E2529" s="379"/>
      <c r="F2529" s="379"/>
      <c r="G2529" s="380"/>
    </row>
    <row r="2530" spans="1:7" s="373" customFormat="1" ht="13.8" x14ac:dyDescent="0.3">
      <c r="A2530" s="378"/>
      <c r="B2530" s="378"/>
      <c r="C2530" s="379"/>
      <c r="D2530" s="379"/>
      <c r="E2530" s="379"/>
      <c r="F2530" s="379"/>
      <c r="G2530" s="380"/>
    </row>
    <row r="2531" spans="1:7" s="373" customFormat="1" ht="13.8" x14ac:dyDescent="0.3">
      <c r="A2531" s="378"/>
      <c r="B2531" s="378"/>
      <c r="C2531" s="379"/>
      <c r="D2531" s="379"/>
      <c r="E2531" s="379"/>
      <c r="F2531" s="379"/>
      <c r="G2531" s="380"/>
    </row>
    <row r="2532" spans="1:7" s="373" customFormat="1" ht="13.8" x14ac:dyDescent="0.3">
      <c r="A2532" s="378"/>
      <c r="B2532" s="378"/>
      <c r="C2532" s="379"/>
      <c r="D2532" s="379"/>
      <c r="E2532" s="379"/>
      <c r="F2532" s="379"/>
      <c r="G2532" s="380"/>
    </row>
    <row r="2533" spans="1:7" s="373" customFormat="1" ht="13.8" x14ac:dyDescent="0.3">
      <c r="A2533" s="378"/>
      <c r="B2533" s="378"/>
      <c r="C2533" s="379"/>
      <c r="D2533" s="379"/>
      <c r="E2533" s="379"/>
      <c r="F2533" s="379"/>
      <c r="G2533" s="380"/>
    </row>
    <row r="2534" spans="1:7" s="373" customFormat="1" ht="13.8" x14ac:dyDescent="0.3">
      <c r="A2534" s="378"/>
      <c r="B2534" s="378"/>
      <c r="C2534" s="379"/>
      <c r="D2534" s="379"/>
      <c r="E2534" s="379"/>
      <c r="F2534" s="379"/>
      <c r="G2534" s="380"/>
    </row>
    <row r="2535" spans="1:7" s="373" customFormat="1" ht="13.8" x14ac:dyDescent="0.3">
      <c r="A2535" s="378"/>
      <c r="B2535" s="378"/>
      <c r="C2535" s="379"/>
      <c r="D2535" s="379"/>
      <c r="E2535" s="379"/>
      <c r="F2535" s="379"/>
      <c r="G2535" s="380"/>
    </row>
    <row r="2536" spans="1:7" s="373" customFormat="1" ht="13.8" x14ac:dyDescent="0.3">
      <c r="A2536" s="378"/>
      <c r="B2536" s="378"/>
      <c r="C2536" s="379"/>
      <c r="D2536" s="379"/>
      <c r="E2536" s="379"/>
      <c r="F2536" s="379"/>
      <c r="G2536" s="380"/>
    </row>
    <row r="2537" spans="1:7" s="373" customFormat="1" ht="13.8" x14ac:dyDescent="0.3">
      <c r="A2537" s="378"/>
      <c r="B2537" s="378"/>
      <c r="C2537" s="379"/>
      <c r="D2537" s="379"/>
      <c r="E2537" s="379"/>
      <c r="F2537" s="379"/>
      <c r="G2537" s="380"/>
    </row>
    <row r="2538" spans="1:7" s="373" customFormat="1" ht="13.8" x14ac:dyDescent="0.3">
      <c r="A2538" s="378"/>
      <c r="B2538" s="378"/>
      <c r="C2538" s="379"/>
      <c r="D2538" s="379"/>
      <c r="E2538" s="379"/>
      <c r="F2538" s="379"/>
      <c r="G2538" s="380"/>
    </row>
    <row r="2539" spans="1:7" s="373" customFormat="1" ht="13.8" x14ac:dyDescent="0.3">
      <c r="A2539" s="378"/>
      <c r="B2539" s="378"/>
      <c r="C2539" s="379"/>
      <c r="D2539" s="379"/>
      <c r="E2539" s="379"/>
      <c r="F2539" s="379"/>
      <c r="G2539" s="380"/>
    </row>
    <row r="2540" spans="1:7" s="373" customFormat="1" ht="13.8" x14ac:dyDescent="0.3">
      <c r="A2540" s="378"/>
      <c r="B2540" s="378"/>
      <c r="C2540" s="379"/>
      <c r="D2540" s="379"/>
      <c r="E2540" s="379"/>
      <c r="F2540" s="379"/>
      <c r="G2540" s="380"/>
    </row>
    <row r="2541" spans="1:7" s="373" customFormat="1" ht="13.8" x14ac:dyDescent="0.3">
      <c r="A2541" s="378"/>
      <c r="B2541" s="378"/>
      <c r="C2541" s="379"/>
      <c r="D2541" s="379"/>
      <c r="E2541" s="379"/>
      <c r="F2541" s="379"/>
      <c r="G2541" s="380"/>
    </row>
    <row r="2542" spans="1:7" s="373" customFormat="1" ht="13.8" x14ac:dyDescent="0.3">
      <c r="A2542" s="378"/>
      <c r="B2542" s="378"/>
      <c r="C2542" s="379"/>
      <c r="D2542" s="379"/>
      <c r="E2542" s="379"/>
      <c r="F2542" s="379"/>
      <c r="G2542" s="380"/>
    </row>
    <row r="2543" spans="1:7" s="373" customFormat="1" ht="13.8" x14ac:dyDescent="0.3">
      <c r="A2543" s="378"/>
      <c r="B2543" s="378"/>
      <c r="C2543" s="379"/>
      <c r="D2543" s="379"/>
      <c r="E2543" s="379"/>
      <c r="F2543" s="379"/>
      <c r="G2543" s="380"/>
    </row>
    <row r="2544" spans="1:7" s="373" customFormat="1" ht="13.8" x14ac:dyDescent="0.3">
      <c r="A2544" s="378"/>
      <c r="B2544" s="378"/>
      <c r="C2544" s="379"/>
      <c r="D2544" s="379"/>
      <c r="E2544" s="379"/>
      <c r="F2544" s="379"/>
      <c r="G2544" s="380"/>
    </row>
    <row r="2545" spans="1:7" s="373" customFormat="1" ht="13.8" x14ac:dyDescent="0.3">
      <c r="A2545" s="378"/>
      <c r="B2545" s="378"/>
      <c r="C2545" s="379"/>
      <c r="D2545" s="379"/>
      <c r="E2545" s="379"/>
      <c r="F2545" s="379"/>
      <c r="G2545" s="380"/>
    </row>
    <row r="2546" spans="1:7" s="373" customFormat="1" ht="13.8" x14ac:dyDescent="0.3">
      <c r="A2546" s="378"/>
      <c r="B2546" s="378"/>
      <c r="C2546" s="379"/>
      <c r="D2546" s="379"/>
      <c r="E2546" s="379"/>
      <c r="F2546" s="379"/>
      <c r="G2546" s="380"/>
    </row>
    <row r="2547" spans="1:7" s="373" customFormat="1" ht="13.8" x14ac:dyDescent="0.3">
      <c r="A2547" s="378"/>
      <c r="B2547" s="378"/>
      <c r="C2547" s="379"/>
      <c r="D2547" s="379"/>
      <c r="E2547" s="379"/>
      <c r="F2547" s="379"/>
      <c r="G2547" s="380"/>
    </row>
    <row r="2548" spans="1:7" s="373" customFormat="1" ht="13.8" x14ac:dyDescent="0.3">
      <c r="A2548" s="378"/>
      <c r="B2548" s="378"/>
      <c r="C2548" s="379"/>
      <c r="D2548" s="379"/>
      <c r="E2548" s="379"/>
      <c r="F2548" s="379"/>
      <c r="G2548" s="380"/>
    </row>
    <row r="2549" spans="1:7" s="373" customFormat="1" ht="13.8" x14ac:dyDescent="0.3">
      <c r="A2549" s="378"/>
      <c r="B2549" s="378"/>
      <c r="C2549" s="379"/>
      <c r="D2549" s="379"/>
      <c r="E2549" s="379"/>
      <c r="F2549" s="379"/>
      <c r="G2549" s="380"/>
    </row>
    <row r="2550" spans="1:7" s="373" customFormat="1" ht="13.8" x14ac:dyDescent="0.3">
      <c r="A2550" s="378"/>
      <c r="B2550" s="378"/>
      <c r="C2550" s="379"/>
      <c r="D2550" s="379"/>
      <c r="E2550" s="379"/>
      <c r="F2550" s="379"/>
      <c r="G2550" s="380"/>
    </row>
    <row r="2551" spans="1:7" s="373" customFormat="1" ht="13.8" x14ac:dyDescent="0.3">
      <c r="A2551" s="378"/>
      <c r="B2551" s="378"/>
      <c r="C2551" s="379"/>
      <c r="D2551" s="379"/>
      <c r="E2551" s="379"/>
      <c r="F2551" s="379"/>
      <c r="G2551" s="380"/>
    </row>
    <row r="2552" spans="1:7" s="373" customFormat="1" ht="13.8" x14ac:dyDescent="0.3">
      <c r="A2552" s="378"/>
      <c r="B2552" s="378"/>
      <c r="C2552" s="379"/>
      <c r="D2552" s="379"/>
      <c r="E2552" s="379"/>
      <c r="F2552" s="379"/>
      <c r="G2552" s="380"/>
    </row>
    <row r="2553" spans="1:7" s="373" customFormat="1" ht="13.8" x14ac:dyDescent="0.3">
      <c r="A2553" s="378"/>
      <c r="B2553" s="378"/>
      <c r="C2553" s="379"/>
      <c r="D2553" s="379"/>
      <c r="E2553" s="379"/>
      <c r="F2553" s="379"/>
      <c r="G2553" s="380"/>
    </row>
    <row r="2554" spans="1:7" s="373" customFormat="1" ht="13.8" x14ac:dyDescent="0.3">
      <c r="A2554" s="378"/>
      <c r="B2554" s="378"/>
      <c r="C2554" s="379"/>
      <c r="D2554" s="379"/>
      <c r="E2554" s="379"/>
      <c r="F2554" s="379"/>
      <c r="G2554" s="380"/>
    </row>
    <row r="2555" spans="1:7" s="373" customFormat="1" ht="13.8" x14ac:dyDescent="0.3">
      <c r="A2555" s="378"/>
      <c r="B2555" s="378"/>
      <c r="C2555" s="379"/>
      <c r="D2555" s="379"/>
      <c r="E2555" s="379"/>
      <c r="F2555" s="379"/>
      <c r="G2555" s="380"/>
    </row>
    <row r="2556" spans="1:7" s="373" customFormat="1" ht="13.8" x14ac:dyDescent="0.3">
      <c r="A2556" s="378"/>
      <c r="B2556" s="378"/>
      <c r="C2556" s="379"/>
      <c r="D2556" s="379"/>
      <c r="E2556" s="379"/>
      <c r="F2556" s="379"/>
      <c r="G2556" s="380"/>
    </row>
    <row r="2557" spans="1:7" s="373" customFormat="1" ht="13.8" x14ac:dyDescent="0.3">
      <c r="A2557" s="378"/>
      <c r="B2557" s="378"/>
      <c r="C2557" s="379"/>
      <c r="D2557" s="379"/>
      <c r="E2557" s="379"/>
      <c r="F2557" s="379"/>
      <c r="G2557" s="380"/>
    </row>
    <row r="2558" spans="1:7" s="373" customFormat="1" ht="13.8" x14ac:dyDescent="0.3">
      <c r="A2558" s="378"/>
      <c r="B2558" s="378"/>
      <c r="C2558" s="379"/>
      <c r="D2558" s="379"/>
      <c r="E2558" s="379"/>
      <c r="F2558" s="379"/>
      <c r="G2558" s="380"/>
    </row>
    <row r="2559" spans="1:7" s="373" customFormat="1" ht="13.8" x14ac:dyDescent="0.3">
      <c r="A2559" s="378"/>
      <c r="B2559" s="378"/>
      <c r="C2559" s="379"/>
      <c r="D2559" s="379"/>
      <c r="E2559" s="379"/>
      <c r="F2559" s="379"/>
      <c r="G2559" s="380"/>
    </row>
    <row r="2560" spans="1:7" s="373" customFormat="1" ht="13.8" x14ac:dyDescent="0.3">
      <c r="A2560" s="378"/>
      <c r="B2560" s="378"/>
      <c r="C2560" s="379"/>
      <c r="D2560" s="379"/>
      <c r="E2560" s="379"/>
      <c r="F2560" s="379"/>
      <c r="G2560" s="380"/>
    </row>
    <row r="2561" spans="1:7" s="373" customFormat="1" ht="13.8" x14ac:dyDescent="0.3">
      <c r="A2561" s="378"/>
      <c r="B2561" s="378"/>
      <c r="C2561" s="379"/>
      <c r="D2561" s="379"/>
      <c r="E2561" s="379"/>
      <c r="F2561" s="379"/>
      <c r="G2561" s="380"/>
    </row>
    <row r="2562" spans="1:7" s="373" customFormat="1" ht="13.8" x14ac:dyDescent="0.3">
      <c r="A2562" s="378"/>
      <c r="B2562" s="378"/>
      <c r="C2562" s="379"/>
      <c r="D2562" s="379"/>
      <c r="E2562" s="379"/>
      <c r="F2562" s="379"/>
      <c r="G2562" s="380"/>
    </row>
    <row r="2563" spans="1:7" s="373" customFormat="1" ht="13.8" x14ac:dyDescent="0.3">
      <c r="A2563" s="378"/>
      <c r="B2563" s="378"/>
      <c r="C2563" s="379"/>
      <c r="D2563" s="379"/>
      <c r="E2563" s="379"/>
      <c r="F2563" s="379"/>
      <c r="G2563" s="380"/>
    </row>
    <row r="2564" spans="1:7" s="373" customFormat="1" ht="13.8" x14ac:dyDescent="0.3">
      <c r="A2564" s="378"/>
      <c r="B2564" s="378"/>
      <c r="C2564" s="379"/>
      <c r="D2564" s="379"/>
      <c r="E2564" s="379"/>
      <c r="F2564" s="379"/>
      <c r="G2564" s="380"/>
    </row>
    <row r="2565" spans="1:7" s="373" customFormat="1" ht="13.8" x14ac:dyDescent="0.3">
      <c r="A2565" s="378"/>
      <c r="B2565" s="378"/>
      <c r="C2565" s="379"/>
      <c r="D2565" s="379"/>
      <c r="E2565" s="379"/>
      <c r="F2565" s="379"/>
      <c r="G2565" s="380"/>
    </row>
    <row r="2566" spans="1:7" s="373" customFormat="1" ht="13.8" x14ac:dyDescent="0.3">
      <c r="A2566" s="378"/>
      <c r="B2566" s="378"/>
      <c r="C2566" s="379"/>
      <c r="D2566" s="379"/>
      <c r="E2566" s="379"/>
      <c r="F2566" s="379"/>
      <c r="G2566" s="380"/>
    </row>
    <row r="2567" spans="1:7" s="373" customFormat="1" ht="13.8" x14ac:dyDescent="0.3">
      <c r="A2567" s="378"/>
      <c r="B2567" s="378"/>
      <c r="C2567" s="379"/>
      <c r="D2567" s="379"/>
      <c r="E2567" s="379"/>
      <c r="F2567" s="379"/>
      <c r="G2567" s="380"/>
    </row>
    <row r="2568" spans="1:7" s="373" customFormat="1" ht="13.8" x14ac:dyDescent="0.3">
      <c r="A2568" s="378"/>
      <c r="B2568" s="378"/>
      <c r="C2568" s="379"/>
      <c r="D2568" s="379"/>
      <c r="E2568" s="379"/>
      <c r="F2568" s="379"/>
      <c r="G2568" s="380"/>
    </row>
    <row r="2569" spans="1:7" s="373" customFormat="1" ht="13.8" x14ac:dyDescent="0.3">
      <c r="A2569" s="378"/>
      <c r="B2569" s="378"/>
      <c r="C2569" s="379"/>
      <c r="D2569" s="379"/>
      <c r="E2569" s="379"/>
      <c r="F2569" s="379"/>
      <c r="G2569" s="380"/>
    </row>
    <row r="2570" spans="1:7" s="373" customFormat="1" ht="13.8" x14ac:dyDescent="0.3">
      <c r="A2570" s="378"/>
      <c r="B2570" s="378"/>
      <c r="C2570" s="379"/>
      <c r="D2570" s="379"/>
      <c r="E2570" s="379"/>
      <c r="F2570" s="379"/>
      <c r="G2570" s="380"/>
    </row>
    <row r="2571" spans="1:7" s="373" customFormat="1" ht="13.8" x14ac:dyDescent="0.3">
      <c r="A2571" s="378"/>
      <c r="B2571" s="378"/>
      <c r="C2571" s="379"/>
      <c r="D2571" s="379"/>
      <c r="E2571" s="379"/>
      <c r="F2571" s="379"/>
      <c r="G2571" s="380"/>
    </row>
    <row r="2572" spans="1:7" s="373" customFormat="1" ht="13.8" x14ac:dyDescent="0.3">
      <c r="A2572" s="378"/>
      <c r="B2572" s="378"/>
      <c r="C2572" s="379"/>
      <c r="D2572" s="379"/>
      <c r="E2572" s="379"/>
      <c r="F2572" s="379"/>
      <c r="G2572" s="380"/>
    </row>
    <row r="2573" spans="1:7" s="373" customFormat="1" ht="13.8" x14ac:dyDescent="0.3">
      <c r="A2573" s="378"/>
      <c r="B2573" s="378"/>
      <c r="C2573" s="379"/>
      <c r="D2573" s="379"/>
      <c r="E2573" s="379"/>
      <c r="F2573" s="379"/>
      <c r="G2573" s="380"/>
    </row>
    <row r="2574" spans="1:7" s="373" customFormat="1" ht="13.8" x14ac:dyDescent="0.3">
      <c r="A2574" s="378"/>
      <c r="B2574" s="378"/>
      <c r="C2574" s="379"/>
      <c r="D2574" s="379"/>
      <c r="E2574" s="379"/>
      <c r="F2574" s="379"/>
      <c r="G2574" s="380"/>
    </row>
    <row r="2575" spans="1:7" s="373" customFormat="1" ht="13.8" x14ac:dyDescent="0.3">
      <c r="A2575" s="378"/>
      <c r="B2575" s="378"/>
      <c r="C2575" s="379"/>
      <c r="D2575" s="379"/>
      <c r="E2575" s="379"/>
      <c r="F2575" s="379"/>
      <c r="G2575" s="380"/>
    </row>
    <row r="2576" spans="1:7" s="373" customFormat="1" ht="13.8" x14ac:dyDescent="0.3">
      <c r="A2576" s="378"/>
      <c r="B2576" s="378"/>
      <c r="C2576" s="379"/>
      <c r="D2576" s="379"/>
      <c r="E2576" s="379"/>
      <c r="F2576" s="379"/>
      <c r="G2576" s="380"/>
    </row>
    <row r="2577" spans="1:7" s="373" customFormat="1" ht="13.8" x14ac:dyDescent="0.3">
      <c r="A2577" s="378"/>
      <c r="B2577" s="378"/>
      <c r="C2577" s="379"/>
      <c r="D2577" s="379"/>
      <c r="E2577" s="379"/>
      <c r="F2577" s="379"/>
      <c r="G2577" s="380"/>
    </row>
    <row r="2578" spans="1:7" s="373" customFormat="1" ht="13.8" x14ac:dyDescent="0.3">
      <c r="A2578" s="378"/>
      <c r="B2578" s="378"/>
      <c r="C2578" s="379"/>
      <c r="D2578" s="379"/>
      <c r="E2578" s="379"/>
      <c r="F2578" s="379"/>
      <c r="G2578" s="380"/>
    </row>
    <row r="2579" spans="1:7" s="373" customFormat="1" ht="13.8" x14ac:dyDescent="0.3">
      <c r="A2579" s="378"/>
      <c r="B2579" s="378"/>
      <c r="C2579" s="379"/>
      <c r="D2579" s="379"/>
      <c r="E2579" s="379"/>
      <c r="F2579" s="379"/>
      <c r="G2579" s="380"/>
    </row>
    <row r="2580" spans="1:7" s="373" customFormat="1" ht="13.8" x14ac:dyDescent="0.3">
      <c r="A2580" s="378"/>
      <c r="B2580" s="378"/>
      <c r="C2580" s="379"/>
      <c r="D2580" s="379"/>
      <c r="E2580" s="379"/>
      <c r="F2580" s="379"/>
      <c r="G2580" s="380"/>
    </row>
    <row r="2581" spans="1:7" s="373" customFormat="1" ht="13.8" x14ac:dyDescent="0.3">
      <c r="A2581" s="378"/>
      <c r="B2581" s="378"/>
      <c r="C2581" s="379"/>
      <c r="D2581" s="379"/>
      <c r="E2581" s="379"/>
      <c r="F2581" s="379"/>
      <c r="G2581" s="380"/>
    </row>
    <row r="2582" spans="1:7" s="373" customFormat="1" ht="13.8" x14ac:dyDescent="0.3">
      <c r="A2582" s="378"/>
      <c r="B2582" s="378"/>
      <c r="C2582" s="379"/>
      <c r="D2582" s="379"/>
      <c r="E2582" s="379"/>
      <c r="F2582" s="379"/>
      <c r="G2582" s="380"/>
    </row>
    <row r="2583" spans="1:7" s="373" customFormat="1" ht="13.8" x14ac:dyDescent="0.3">
      <c r="A2583" s="378"/>
      <c r="B2583" s="378"/>
      <c r="C2583" s="379"/>
      <c r="D2583" s="379"/>
      <c r="E2583" s="379"/>
      <c r="F2583" s="379"/>
      <c r="G2583" s="380"/>
    </row>
    <row r="2584" spans="1:7" s="373" customFormat="1" ht="13.8" x14ac:dyDescent="0.3">
      <c r="A2584" s="378"/>
      <c r="B2584" s="378"/>
      <c r="C2584" s="379"/>
      <c r="D2584" s="379"/>
      <c r="E2584" s="379"/>
      <c r="F2584" s="379"/>
      <c r="G2584" s="380"/>
    </row>
    <row r="2585" spans="1:7" s="373" customFormat="1" ht="13.8" x14ac:dyDescent="0.3">
      <c r="A2585" s="378"/>
      <c r="B2585" s="378"/>
      <c r="C2585" s="379"/>
      <c r="D2585" s="379"/>
      <c r="E2585" s="379"/>
      <c r="F2585" s="379"/>
      <c r="G2585" s="380"/>
    </row>
    <row r="2586" spans="1:7" s="373" customFormat="1" ht="13.8" x14ac:dyDescent="0.3">
      <c r="A2586" s="378"/>
      <c r="B2586" s="378"/>
      <c r="C2586" s="379"/>
      <c r="D2586" s="379"/>
      <c r="E2586" s="379"/>
      <c r="F2586" s="379"/>
      <c r="G2586" s="380"/>
    </row>
    <row r="2587" spans="1:7" s="373" customFormat="1" ht="13.8" x14ac:dyDescent="0.3">
      <c r="A2587" s="378"/>
      <c r="B2587" s="378"/>
      <c r="C2587" s="379"/>
      <c r="D2587" s="379"/>
      <c r="E2587" s="379"/>
      <c r="F2587" s="379"/>
      <c r="G2587" s="380"/>
    </row>
    <row r="2588" spans="1:7" s="373" customFormat="1" ht="13.8" x14ac:dyDescent="0.3">
      <c r="A2588" s="378"/>
      <c r="B2588" s="378"/>
      <c r="C2588" s="379"/>
      <c r="D2588" s="379"/>
      <c r="E2588" s="379"/>
      <c r="F2588" s="379"/>
      <c r="G2588" s="380"/>
    </row>
    <row r="2589" spans="1:7" s="373" customFormat="1" ht="13.8" x14ac:dyDescent="0.3">
      <c r="A2589" s="378"/>
      <c r="B2589" s="378"/>
      <c r="C2589" s="379"/>
      <c r="D2589" s="379"/>
      <c r="E2589" s="379"/>
      <c r="F2589" s="379"/>
      <c r="G2589" s="380"/>
    </row>
    <row r="2590" spans="1:7" s="373" customFormat="1" ht="13.8" x14ac:dyDescent="0.3">
      <c r="A2590" s="378"/>
      <c r="B2590" s="378"/>
      <c r="C2590" s="379"/>
      <c r="D2590" s="379"/>
      <c r="E2590" s="379"/>
      <c r="F2590" s="379"/>
      <c r="G2590" s="380"/>
    </row>
    <row r="2591" spans="1:7" s="373" customFormat="1" ht="13.8" x14ac:dyDescent="0.3">
      <c r="A2591" s="378"/>
      <c r="B2591" s="378"/>
      <c r="C2591" s="379"/>
      <c r="D2591" s="379"/>
      <c r="E2591" s="379"/>
      <c r="F2591" s="379"/>
      <c r="G2591" s="380"/>
    </row>
    <row r="2592" spans="1:7" s="373" customFormat="1" ht="13.8" x14ac:dyDescent="0.3">
      <c r="A2592" s="378"/>
      <c r="B2592" s="378"/>
      <c r="C2592" s="379"/>
      <c r="D2592" s="379"/>
      <c r="E2592" s="379"/>
      <c r="F2592" s="379"/>
      <c r="G2592" s="380"/>
    </row>
    <row r="2593" spans="1:7" s="373" customFormat="1" ht="13.8" x14ac:dyDescent="0.3">
      <c r="A2593" s="378"/>
      <c r="B2593" s="378"/>
      <c r="C2593" s="379"/>
      <c r="D2593" s="379"/>
      <c r="E2593" s="379"/>
      <c r="F2593" s="379"/>
      <c r="G2593" s="380"/>
    </row>
    <row r="2594" spans="1:7" s="373" customFormat="1" ht="13.8" x14ac:dyDescent="0.3">
      <c r="A2594" s="378"/>
      <c r="B2594" s="378"/>
      <c r="C2594" s="379"/>
      <c r="D2594" s="379"/>
      <c r="E2594" s="379"/>
      <c r="F2594" s="379"/>
      <c r="G2594" s="380"/>
    </row>
    <row r="2595" spans="1:7" s="373" customFormat="1" ht="13.8" x14ac:dyDescent="0.3">
      <c r="A2595" s="378"/>
      <c r="B2595" s="378"/>
      <c r="C2595" s="379"/>
      <c r="D2595" s="379"/>
      <c r="E2595" s="379"/>
      <c r="F2595" s="379"/>
      <c r="G2595" s="380"/>
    </row>
    <row r="2596" spans="1:7" s="373" customFormat="1" ht="13.8" x14ac:dyDescent="0.3">
      <c r="A2596" s="378"/>
      <c r="B2596" s="378"/>
      <c r="C2596" s="379"/>
      <c r="D2596" s="379"/>
      <c r="E2596" s="379"/>
      <c r="F2596" s="379"/>
      <c r="G2596" s="380"/>
    </row>
    <row r="2597" spans="1:7" s="373" customFormat="1" ht="13.8" x14ac:dyDescent="0.3">
      <c r="A2597" s="378"/>
      <c r="B2597" s="378"/>
      <c r="C2597" s="379"/>
      <c r="D2597" s="379"/>
      <c r="E2597" s="379"/>
      <c r="F2597" s="379"/>
      <c r="G2597" s="380"/>
    </row>
    <row r="2598" spans="1:7" s="373" customFormat="1" ht="13.8" x14ac:dyDescent="0.3">
      <c r="A2598" s="378"/>
      <c r="B2598" s="378"/>
      <c r="C2598" s="379"/>
      <c r="D2598" s="379"/>
      <c r="E2598" s="379"/>
      <c r="F2598" s="379"/>
      <c r="G2598" s="380"/>
    </row>
    <row r="2599" spans="1:7" s="373" customFormat="1" ht="13.8" x14ac:dyDescent="0.3">
      <c r="A2599" s="378"/>
      <c r="B2599" s="378"/>
      <c r="C2599" s="379"/>
      <c r="D2599" s="379"/>
      <c r="E2599" s="379"/>
      <c r="F2599" s="379"/>
      <c r="G2599" s="380"/>
    </row>
    <row r="2600" spans="1:7" s="373" customFormat="1" ht="13.8" x14ac:dyDescent="0.3">
      <c r="A2600" s="378"/>
      <c r="B2600" s="378"/>
      <c r="C2600" s="379"/>
      <c r="D2600" s="379"/>
      <c r="E2600" s="379"/>
      <c r="F2600" s="379"/>
      <c r="G2600" s="380"/>
    </row>
    <row r="2601" spans="1:7" s="373" customFormat="1" ht="13.8" x14ac:dyDescent="0.3">
      <c r="A2601" s="378"/>
      <c r="B2601" s="378"/>
      <c r="C2601" s="379"/>
      <c r="D2601" s="379"/>
      <c r="E2601" s="379"/>
      <c r="F2601" s="379"/>
      <c r="G2601" s="380"/>
    </row>
    <row r="2602" spans="1:7" s="373" customFormat="1" ht="13.8" x14ac:dyDescent="0.3">
      <c r="A2602" s="378"/>
      <c r="B2602" s="378"/>
      <c r="C2602" s="379"/>
      <c r="D2602" s="379"/>
      <c r="E2602" s="379"/>
      <c r="F2602" s="379"/>
      <c r="G2602" s="380"/>
    </row>
    <row r="2603" spans="1:7" s="373" customFormat="1" ht="13.8" x14ac:dyDescent="0.3">
      <c r="A2603" s="378"/>
      <c r="B2603" s="378"/>
      <c r="C2603" s="379"/>
      <c r="D2603" s="379"/>
      <c r="E2603" s="379"/>
      <c r="F2603" s="379"/>
      <c r="G2603" s="380"/>
    </row>
    <row r="2604" spans="1:7" s="373" customFormat="1" ht="13.8" x14ac:dyDescent="0.3">
      <c r="A2604" s="378"/>
      <c r="B2604" s="378"/>
      <c r="C2604" s="379"/>
      <c r="D2604" s="379"/>
      <c r="E2604" s="379"/>
      <c r="F2604" s="379"/>
      <c r="G2604" s="380"/>
    </row>
    <row r="2605" spans="1:7" s="373" customFormat="1" ht="13.8" x14ac:dyDescent="0.3">
      <c r="A2605" s="378"/>
      <c r="B2605" s="378"/>
      <c r="C2605" s="379"/>
      <c r="D2605" s="379"/>
      <c r="E2605" s="379"/>
      <c r="F2605" s="379"/>
      <c r="G2605" s="380"/>
    </row>
    <row r="2606" spans="1:7" s="373" customFormat="1" ht="13.8" x14ac:dyDescent="0.3">
      <c r="A2606" s="378"/>
      <c r="B2606" s="378"/>
      <c r="C2606" s="379"/>
      <c r="D2606" s="379"/>
      <c r="E2606" s="379"/>
      <c r="F2606" s="379"/>
      <c r="G2606" s="380"/>
    </row>
    <row r="2607" spans="1:7" s="373" customFormat="1" ht="13.8" x14ac:dyDescent="0.3">
      <c r="A2607" s="378"/>
      <c r="B2607" s="378"/>
      <c r="C2607" s="379"/>
      <c r="D2607" s="379"/>
      <c r="E2607" s="379"/>
      <c r="F2607" s="379"/>
      <c r="G2607" s="380"/>
    </row>
    <row r="2608" spans="1:7" s="373" customFormat="1" ht="13.8" x14ac:dyDescent="0.3">
      <c r="A2608" s="378"/>
      <c r="B2608" s="378"/>
      <c r="C2608" s="379"/>
      <c r="D2608" s="379"/>
      <c r="E2608" s="379"/>
      <c r="F2608" s="379"/>
      <c r="G2608" s="380"/>
    </row>
    <row r="2609" spans="1:7" s="373" customFormat="1" ht="13.8" x14ac:dyDescent="0.3">
      <c r="A2609" s="378"/>
      <c r="B2609" s="378"/>
      <c r="C2609" s="379"/>
      <c r="D2609" s="379"/>
      <c r="E2609" s="379"/>
      <c r="F2609" s="379"/>
      <c r="G2609" s="380"/>
    </row>
    <row r="2610" spans="1:7" s="373" customFormat="1" ht="13.8" x14ac:dyDescent="0.3">
      <c r="A2610" s="378"/>
      <c r="B2610" s="378"/>
      <c r="C2610" s="379"/>
      <c r="D2610" s="379"/>
      <c r="E2610" s="379"/>
      <c r="F2610" s="379"/>
      <c r="G2610" s="380"/>
    </row>
    <row r="2611" spans="1:7" s="373" customFormat="1" ht="13.8" x14ac:dyDescent="0.3">
      <c r="A2611" s="378"/>
      <c r="B2611" s="378"/>
      <c r="C2611" s="379"/>
      <c r="D2611" s="379"/>
      <c r="E2611" s="379"/>
      <c r="F2611" s="379"/>
      <c r="G2611" s="380"/>
    </row>
    <row r="2612" spans="1:7" s="373" customFormat="1" ht="13.8" x14ac:dyDescent="0.3">
      <c r="A2612" s="378"/>
      <c r="B2612" s="378"/>
      <c r="C2612" s="379"/>
      <c r="D2612" s="379"/>
      <c r="E2612" s="379"/>
      <c r="F2612" s="379"/>
      <c r="G2612" s="380"/>
    </row>
    <row r="2613" spans="1:7" s="373" customFormat="1" ht="13.8" x14ac:dyDescent="0.3">
      <c r="A2613" s="378"/>
      <c r="B2613" s="378"/>
      <c r="C2613" s="379"/>
      <c r="D2613" s="379"/>
      <c r="E2613" s="379"/>
      <c r="F2613" s="379"/>
      <c r="G2613" s="380"/>
    </row>
    <row r="2614" spans="1:7" s="373" customFormat="1" ht="13.8" x14ac:dyDescent="0.3">
      <c r="A2614" s="378"/>
      <c r="B2614" s="378"/>
      <c r="C2614" s="379"/>
      <c r="D2614" s="379"/>
      <c r="E2614" s="379"/>
      <c r="F2614" s="379"/>
      <c r="G2614" s="380"/>
    </row>
    <row r="2615" spans="1:7" s="373" customFormat="1" ht="13.8" x14ac:dyDescent="0.3">
      <c r="A2615" s="378"/>
      <c r="B2615" s="378"/>
      <c r="C2615" s="379"/>
      <c r="D2615" s="379"/>
      <c r="E2615" s="379"/>
      <c r="F2615" s="379"/>
      <c r="G2615" s="380"/>
    </row>
    <row r="2616" spans="1:7" s="373" customFormat="1" ht="13.8" x14ac:dyDescent="0.3">
      <c r="A2616" s="378"/>
      <c r="B2616" s="378"/>
      <c r="C2616" s="379"/>
      <c r="D2616" s="379"/>
      <c r="E2616" s="379"/>
      <c r="F2616" s="379"/>
      <c r="G2616" s="380"/>
    </row>
    <row r="2617" spans="1:7" s="373" customFormat="1" ht="13.8" x14ac:dyDescent="0.3">
      <c r="A2617" s="378"/>
      <c r="B2617" s="378"/>
      <c r="C2617" s="379"/>
      <c r="D2617" s="379"/>
      <c r="E2617" s="379"/>
      <c r="F2617" s="379"/>
      <c r="G2617" s="380"/>
    </row>
    <row r="2618" spans="1:7" s="373" customFormat="1" ht="13.8" x14ac:dyDescent="0.3">
      <c r="A2618" s="378"/>
      <c r="B2618" s="378"/>
      <c r="C2618" s="379"/>
      <c r="D2618" s="379"/>
      <c r="E2618" s="379"/>
      <c r="F2618" s="379"/>
      <c r="G2618" s="380"/>
    </row>
    <row r="2619" spans="1:7" s="373" customFormat="1" ht="13.8" x14ac:dyDescent="0.3">
      <c r="A2619" s="378"/>
      <c r="B2619" s="378"/>
      <c r="C2619" s="379"/>
      <c r="D2619" s="379"/>
      <c r="E2619" s="379"/>
      <c r="F2619" s="379"/>
      <c r="G2619" s="380"/>
    </row>
    <row r="2620" spans="1:7" s="373" customFormat="1" ht="13.8" x14ac:dyDescent="0.3">
      <c r="A2620" s="378"/>
      <c r="B2620" s="378"/>
      <c r="C2620" s="379"/>
      <c r="D2620" s="379"/>
      <c r="E2620" s="379"/>
      <c r="F2620" s="379"/>
      <c r="G2620" s="380"/>
    </row>
    <row r="2621" spans="1:7" s="373" customFormat="1" ht="13.8" x14ac:dyDescent="0.3">
      <c r="A2621" s="378"/>
      <c r="B2621" s="378"/>
      <c r="C2621" s="379"/>
      <c r="D2621" s="379"/>
      <c r="E2621" s="379"/>
      <c r="F2621" s="379"/>
      <c r="G2621" s="380"/>
    </row>
    <row r="2622" spans="1:7" s="373" customFormat="1" ht="13.8" x14ac:dyDescent="0.3">
      <c r="A2622" s="378"/>
      <c r="B2622" s="378"/>
      <c r="C2622" s="379"/>
      <c r="D2622" s="379"/>
      <c r="E2622" s="379"/>
      <c r="F2622" s="379"/>
      <c r="G2622" s="380"/>
    </row>
    <row r="2623" spans="1:7" s="373" customFormat="1" ht="13.8" x14ac:dyDescent="0.3">
      <c r="A2623" s="378"/>
      <c r="B2623" s="378"/>
      <c r="C2623" s="379"/>
      <c r="D2623" s="379"/>
      <c r="E2623" s="379"/>
      <c r="F2623" s="379"/>
      <c r="G2623" s="380"/>
    </row>
    <row r="2624" spans="1:7" s="373" customFormat="1" ht="13.8" x14ac:dyDescent="0.3">
      <c r="A2624" s="378"/>
      <c r="B2624" s="378"/>
      <c r="C2624" s="379"/>
      <c r="D2624" s="379"/>
      <c r="E2624" s="379"/>
      <c r="F2624" s="379"/>
      <c r="G2624" s="380"/>
    </row>
    <row r="2625" spans="1:7" s="373" customFormat="1" ht="13.8" x14ac:dyDescent="0.3">
      <c r="A2625" s="378"/>
      <c r="B2625" s="378"/>
      <c r="C2625" s="379"/>
      <c r="D2625" s="379"/>
      <c r="E2625" s="379"/>
      <c r="F2625" s="379"/>
      <c r="G2625" s="380"/>
    </row>
    <row r="2626" spans="1:7" s="373" customFormat="1" ht="13.8" x14ac:dyDescent="0.3">
      <c r="A2626" s="378"/>
      <c r="B2626" s="378"/>
      <c r="C2626" s="379"/>
      <c r="D2626" s="379"/>
      <c r="E2626" s="379"/>
      <c r="F2626" s="379"/>
      <c r="G2626" s="380"/>
    </row>
    <row r="2627" spans="1:7" s="373" customFormat="1" ht="13.8" x14ac:dyDescent="0.3">
      <c r="A2627" s="378"/>
      <c r="B2627" s="378"/>
      <c r="C2627" s="379"/>
      <c r="D2627" s="379"/>
      <c r="E2627" s="379"/>
      <c r="F2627" s="379"/>
      <c r="G2627" s="380"/>
    </row>
    <row r="2628" spans="1:7" s="373" customFormat="1" ht="13.8" x14ac:dyDescent="0.3">
      <c r="A2628" s="378"/>
      <c r="B2628" s="378"/>
      <c r="C2628" s="379"/>
      <c r="D2628" s="379"/>
      <c r="E2628" s="379"/>
      <c r="F2628" s="379"/>
      <c r="G2628" s="380"/>
    </row>
    <row r="2629" spans="1:7" s="373" customFormat="1" ht="13.8" x14ac:dyDescent="0.3">
      <c r="A2629" s="378"/>
      <c r="B2629" s="378"/>
      <c r="C2629" s="379"/>
      <c r="D2629" s="379"/>
      <c r="E2629" s="379"/>
      <c r="F2629" s="379"/>
      <c r="G2629" s="380"/>
    </row>
    <row r="2630" spans="1:7" s="373" customFormat="1" ht="13.8" x14ac:dyDescent="0.3">
      <c r="A2630" s="378"/>
      <c r="B2630" s="378"/>
      <c r="C2630" s="379"/>
      <c r="D2630" s="379"/>
      <c r="E2630" s="379"/>
      <c r="F2630" s="379"/>
      <c r="G2630" s="380"/>
    </row>
    <row r="2631" spans="1:7" s="373" customFormat="1" ht="13.8" x14ac:dyDescent="0.3">
      <c r="A2631" s="378"/>
      <c r="B2631" s="378"/>
      <c r="C2631" s="379"/>
      <c r="D2631" s="379"/>
      <c r="E2631" s="379"/>
      <c r="F2631" s="379"/>
      <c r="G2631" s="380"/>
    </row>
    <row r="2632" spans="1:7" s="373" customFormat="1" ht="13.8" x14ac:dyDescent="0.3">
      <c r="A2632" s="378"/>
      <c r="B2632" s="378"/>
      <c r="C2632" s="379"/>
      <c r="D2632" s="379"/>
      <c r="E2632" s="379"/>
      <c r="F2632" s="379"/>
      <c r="G2632" s="380"/>
    </row>
    <row r="2633" spans="1:7" s="373" customFormat="1" ht="13.8" x14ac:dyDescent="0.3">
      <c r="A2633" s="378"/>
      <c r="B2633" s="378"/>
      <c r="C2633" s="379"/>
      <c r="D2633" s="379"/>
      <c r="E2633" s="379"/>
      <c r="F2633" s="379"/>
      <c r="G2633" s="380"/>
    </row>
    <row r="2634" spans="1:7" s="373" customFormat="1" ht="13.8" x14ac:dyDescent="0.3">
      <c r="A2634" s="378"/>
      <c r="B2634" s="378"/>
      <c r="C2634" s="379"/>
      <c r="D2634" s="379"/>
      <c r="E2634" s="379"/>
      <c r="F2634" s="379"/>
      <c r="G2634" s="380"/>
    </row>
    <row r="2635" spans="1:7" s="373" customFormat="1" ht="13.8" x14ac:dyDescent="0.3">
      <c r="A2635" s="378"/>
      <c r="B2635" s="378"/>
      <c r="C2635" s="379"/>
      <c r="D2635" s="379"/>
      <c r="E2635" s="379"/>
      <c r="F2635" s="379"/>
      <c r="G2635" s="380"/>
    </row>
    <row r="2636" spans="1:7" s="373" customFormat="1" ht="13.8" x14ac:dyDescent="0.3">
      <c r="A2636" s="378"/>
      <c r="B2636" s="378"/>
      <c r="C2636" s="379"/>
      <c r="D2636" s="379"/>
      <c r="E2636" s="379"/>
      <c r="F2636" s="379"/>
      <c r="G2636" s="380"/>
    </row>
    <row r="2637" spans="1:7" s="373" customFormat="1" ht="13.8" x14ac:dyDescent="0.3">
      <c r="A2637" s="378"/>
      <c r="B2637" s="378"/>
      <c r="C2637" s="379"/>
      <c r="D2637" s="379"/>
      <c r="E2637" s="379"/>
      <c r="F2637" s="379"/>
      <c r="G2637" s="380"/>
    </row>
    <row r="2638" spans="1:7" s="373" customFormat="1" ht="13.8" x14ac:dyDescent="0.3">
      <c r="A2638" s="378"/>
      <c r="B2638" s="378"/>
      <c r="C2638" s="379"/>
      <c r="D2638" s="379"/>
      <c r="E2638" s="379"/>
      <c r="F2638" s="379"/>
      <c r="G2638" s="380"/>
    </row>
    <row r="2639" spans="1:7" s="373" customFormat="1" ht="13.8" x14ac:dyDescent="0.3">
      <c r="A2639" s="378"/>
      <c r="B2639" s="378"/>
      <c r="C2639" s="379"/>
      <c r="D2639" s="379"/>
      <c r="E2639" s="379"/>
      <c r="F2639" s="379"/>
      <c r="G2639" s="380"/>
    </row>
    <row r="2640" spans="1:7" s="373" customFormat="1" ht="13.8" x14ac:dyDescent="0.3">
      <c r="A2640" s="378"/>
      <c r="B2640" s="378"/>
      <c r="C2640" s="379"/>
      <c r="D2640" s="379"/>
      <c r="E2640" s="379"/>
      <c r="F2640" s="379"/>
      <c r="G2640" s="380"/>
    </row>
    <row r="2641" spans="1:7" s="373" customFormat="1" ht="13.8" x14ac:dyDescent="0.3">
      <c r="A2641" s="378"/>
      <c r="B2641" s="378"/>
      <c r="C2641" s="379"/>
      <c r="D2641" s="379"/>
      <c r="E2641" s="379"/>
      <c r="F2641" s="379"/>
      <c r="G2641" s="380"/>
    </row>
    <row r="2642" spans="1:7" s="373" customFormat="1" ht="13.8" x14ac:dyDescent="0.3">
      <c r="A2642" s="378"/>
      <c r="B2642" s="378"/>
      <c r="C2642" s="379"/>
      <c r="D2642" s="379"/>
      <c r="E2642" s="379"/>
      <c r="F2642" s="379"/>
      <c r="G2642" s="380"/>
    </row>
    <row r="2643" spans="1:7" s="373" customFormat="1" ht="13.8" x14ac:dyDescent="0.3">
      <c r="A2643" s="378"/>
      <c r="B2643" s="378"/>
      <c r="C2643" s="379"/>
      <c r="D2643" s="379"/>
      <c r="E2643" s="379"/>
      <c r="F2643" s="379"/>
      <c r="G2643" s="380"/>
    </row>
    <row r="2644" spans="1:7" s="373" customFormat="1" ht="13.8" x14ac:dyDescent="0.3">
      <c r="A2644" s="378"/>
      <c r="B2644" s="378"/>
      <c r="C2644" s="379"/>
      <c r="D2644" s="379"/>
      <c r="E2644" s="379"/>
      <c r="F2644" s="379"/>
      <c r="G2644" s="380"/>
    </row>
    <row r="2645" spans="1:7" s="373" customFormat="1" ht="13.8" x14ac:dyDescent="0.3">
      <c r="A2645" s="378"/>
      <c r="B2645" s="378"/>
      <c r="C2645" s="379"/>
      <c r="D2645" s="379"/>
      <c r="E2645" s="379"/>
      <c r="F2645" s="379"/>
      <c r="G2645" s="380"/>
    </row>
    <row r="2646" spans="1:7" s="373" customFormat="1" ht="13.8" x14ac:dyDescent="0.3">
      <c r="A2646" s="378"/>
      <c r="B2646" s="378"/>
      <c r="C2646" s="379"/>
      <c r="D2646" s="379"/>
      <c r="E2646" s="379"/>
      <c r="F2646" s="379"/>
      <c r="G2646" s="380"/>
    </row>
    <row r="2647" spans="1:7" s="373" customFormat="1" ht="13.8" x14ac:dyDescent="0.3">
      <c r="A2647" s="378"/>
      <c r="B2647" s="378"/>
      <c r="C2647" s="379"/>
      <c r="D2647" s="379"/>
      <c r="E2647" s="379"/>
      <c r="F2647" s="379"/>
      <c r="G2647" s="380"/>
    </row>
    <row r="2648" spans="1:7" s="373" customFormat="1" ht="13.8" x14ac:dyDescent="0.3">
      <c r="A2648" s="378"/>
      <c r="B2648" s="378"/>
      <c r="C2648" s="379"/>
      <c r="D2648" s="379"/>
      <c r="E2648" s="379"/>
      <c r="F2648" s="379"/>
      <c r="G2648" s="380"/>
    </row>
    <row r="2649" spans="1:7" s="373" customFormat="1" ht="13.8" x14ac:dyDescent="0.3">
      <c r="A2649" s="378"/>
      <c r="B2649" s="378"/>
      <c r="C2649" s="379"/>
      <c r="D2649" s="379"/>
      <c r="E2649" s="379"/>
      <c r="F2649" s="379"/>
      <c r="G2649" s="380"/>
    </row>
    <row r="2650" spans="1:7" s="373" customFormat="1" ht="13.8" x14ac:dyDescent="0.3">
      <c r="A2650" s="378"/>
      <c r="B2650" s="378"/>
      <c r="C2650" s="379"/>
      <c r="D2650" s="379"/>
      <c r="E2650" s="379"/>
      <c r="F2650" s="379"/>
      <c r="G2650" s="380"/>
    </row>
    <row r="2651" spans="1:7" s="373" customFormat="1" ht="13.8" x14ac:dyDescent="0.3">
      <c r="A2651" s="378"/>
      <c r="B2651" s="378"/>
      <c r="C2651" s="379"/>
      <c r="D2651" s="379"/>
      <c r="E2651" s="379"/>
      <c r="F2651" s="379"/>
      <c r="G2651" s="380"/>
    </row>
    <row r="2652" spans="1:7" s="373" customFormat="1" ht="13.8" x14ac:dyDescent="0.3">
      <c r="A2652" s="378"/>
      <c r="B2652" s="378"/>
      <c r="C2652" s="379"/>
      <c r="D2652" s="379"/>
      <c r="E2652" s="379"/>
      <c r="F2652" s="379"/>
      <c r="G2652" s="380"/>
    </row>
    <row r="2653" spans="1:7" s="373" customFormat="1" ht="13.8" x14ac:dyDescent="0.3">
      <c r="A2653" s="378"/>
      <c r="B2653" s="378"/>
      <c r="C2653" s="379"/>
      <c r="D2653" s="379"/>
      <c r="E2653" s="379"/>
      <c r="F2653" s="379"/>
      <c r="G2653" s="380"/>
    </row>
    <row r="2654" spans="1:7" s="373" customFormat="1" ht="13.8" x14ac:dyDescent="0.3">
      <c r="A2654" s="378"/>
      <c r="B2654" s="378"/>
      <c r="C2654" s="379"/>
      <c r="D2654" s="379"/>
      <c r="E2654" s="379"/>
      <c r="F2654" s="379"/>
      <c r="G2654" s="380"/>
    </row>
    <row r="2655" spans="1:7" s="373" customFormat="1" ht="13.8" x14ac:dyDescent="0.3">
      <c r="A2655" s="378"/>
      <c r="B2655" s="378"/>
      <c r="C2655" s="379"/>
      <c r="D2655" s="379"/>
      <c r="E2655" s="379"/>
      <c r="F2655" s="379"/>
      <c r="G2655" s="380"/>
    </row>
    <row r="2656" spans="1:7" s="373" customFormat="1" ht="13.8" x14ac:dyDescent="0.3">
      <c r="A2656" s="378"/>
      <c r="B2656" s="378"/>
      <c r="C2656" s="379"/>
      <c r="D2656" s="379"/>
      <c r="E2656" s="379"/>
      <c r="F2656" s="379"/>
      <c r="G2656" s="380"/>
    </row>
    <row r="2657" spans="1:7" s="373" customFormat="1" ht="13.8" x14ac:dyDescent="0.3">
      <c r="A2657" s="378"/>
      <c r="B2657" s="378"/>
      <c r="C2657" s="379"/>
      <c r="D2657" s="379"/>
      <c r="E2657" s="379"/>
      <c r="F2657" s="379"/>
      <c r="G2657" s="380"/>
    </row>
    <row r="2658" spans="1:7" s="373" customFormat="1" ht="13.8" x14ac:dyDescent="0.3">
      <c r="A2658" s="378"/>
      <c r="B2658" s="378"/>
      <c r="C2658" s="379"/>
      <c r="D2658" s="379"/>
      <c r="E2658" s="379"/>
      <c r="F2658" s="379"/>
      <c r="G2658" s="380"/>
    </row>
    <row r="2659" spans="1:7" s="373" customFormat="1" ht="13.8" x14ac:dyDescent="0.3">
      <c r="A2659" s="378"/>
      <c r="B2659" s="378"/>
      <c r="C2659" s="379"/>
      <c r="D2659" s="379"/>
      <c r="E2659" s="379"/>
      <c r="F2659" s="379"/>
      <c r="G2659" s="380"/>
    </row>
    <row r="2660" spans="1:7" s="373" customFormat="1" ht="13.8" x14ac:dyDescent="0.3">
      <c r="A2660" s="378"/>
      <c r="B2660" s="378"/>
      <c r="C2660" s="379"/>
      <c r="D2660" s="379"/>
      <c r="E2660" s="379"/>
      <c r="F2660" s="379"/>
      <c r="G2660" s="380"/>
    </row>
    <row r="2661" spans="1:7" s="373" customFormat="1" ht="13.8" x14ac:dyDescent="0.3">
      <c r="A2661" s="378"/>
      <c r="B2661" s="378"/>
      <c r="C2661" s="379"/>
      <c r="D2661" s="379"/>
      <c r="E2661" s="379"/>
      <c r="F2661" s="379"/>
      <c r="G2661" s="380"/>
    </row>
    <row r="2662" spans="1:7" s="373" customFormat="1" ht="13.8" x14ac:dyDescent="0.3">
      <c r="A2662" s="378"/>
      <c r="B2662" s="378"/>
      <c r="C2662" s="379"/>
      <c r="D2662" s="379"/>
      <c r="E2662" s="379"/>
      <c r="F2662" s="379"/>
      <c r="G2662" s="380"/>
    </row>
    <row r="2663" spans="1:7" s="373" customFormat="1" ht="13.8" x14ac:dyDescent="0.3">
      <c r="A2663" s="378"/>
      <c r="B2663" s="378"/>
      <c r="C2663" s="379"/>
      <c r="D2663" s="379"/>
      <c r="E2663" s="379"/>
      <c r="F2663" s="379"/>
      <c r="G2663" s="380"/>
    </row>
    <row r="2664" spans="1:7" s="373" customFormat="1" ht="13.8" x14ac:dyDescent="0.3">
      <c r="A2664" s="378"/>
      <c r="B2664" s="378"/>
      <c r="C2664" s="379"/>
      <c r="D2664" s="379"/>
      <c r="E2664" s="379"/>
      <c r="F2664" s="379"/>
      <c r="G2664" s="380"/>
    </row>
    <row r="2665" spans="1:7" s="373" customFormat="1" ht="13.8" x14ac:dyDescent="0.3">
      <c r="A2665" s="378"/>
      <c r="B2665" s="378"/>
      <c r="C2665" s="379"/>
      <c r="D2665" s="379"/>
      <c r="E2665" s="379"/>
      <c r="F2665" s="379"/>
      <c r="G2665" s="380"/>
    </row>
    <row r="2666" spans="1:7" s="373" customFormat="1" ht="13.8" x14ac:dyDescent="0.3">
      <c r="A2666" s="378"/>
      <c r="B2666" s="378"/>
      <c r="C2666" s="379"/>
      <c r="D2666" s="379"/>
      <c r="E2666" s="379"/>
      <c r="F2666" s="379"/>
      <c r="G2666" s="380"/>
    </row>
    <row r="2667" spans="1:7" s="373" customFormat="1" ht="13.8" x14ac:dyDescent="0.3">
      <c r="A2667" s="378"/>
      <c r="B2667" s="378"/>
      <c r="C2667" s="379"/>
      <c r="D2667" s="379"/>
      <c r="E2667" s="379"/>
      <c r="F2667" s="379"/>
      <c r="G2667" s="380"/>
    </row>
    <row r="2668" spans="1:7" s="373" customFormat="1" ht="13.8" x14ac:dyDescent="0.3">
      <c r="A2668" s="378"/>
      <c r="B2668" s="378"/>
      <c r="C2668" s="379"/>
      <c r="D2668" s="379"/>
      <c r="E2668" s="379"/>
      <c r="F2668" s="379"/>
      <c r="G2668" s="380"/>
    </row>
    <row r="2669" spans="1:7" s="373" customFormat="1" ht="13.8" x14ac:dyDescent="0.3">
      <c r="A2669" s="378"/>
      <c r="B2669" s="378"/>
      <c r="C2669" s="379"/>
      <c r="D2669" s="379"/>
      <c r="E2669" s="379"/>
      <c r="F2669" s="379"/>
      <c r="G2669" s="380"/>
    </row>
    <row r="2670" spans="1:7" s="373" customFormat="1" ht="13.8" x14ac:dyDescent="0.3">
      <c r="A2670" s="378"/>
      <c r="B2670" s="378"/>
      <c r="C2670" s="379"/>
      <c r="D2670" s="379"/>
      <c r="E2670" s="379"/>
      <c r="F2670" s="379"/>
      <c r="G2670" s="380"/>
    </row>
    <row r="2671" spans="1:7" s="373" customFormat="1" ht="13.8" x14ac:dyDescent="0.3">
      <c r="A2671" s="378"/>
      <c r="B2671" s="378"/>
      <c r="C2671" s="379"/>
      <c r="D2671" s="379"/>
      <c r="E2671" s="379"/>
      <c r="F2671" s="379"/>
      <c r="G2671" s="380"/>
    </row>
    <row r="2672" spans="1:7" s="373" customFormat="1" ht="13.8" x14ac:dyDescent="0.3">
      <c r="A2672" s="378"/>
      <c r="B2672" s="378"/>
      <c r="C2672" s="379"/>
      <c r="D2672" s="379"/>
      <c r="E2672" s="379"/>
      <c r="F2672" s="379"/>
      <c r="G2672" s="380"/>
    </row>
    <row r="2673" spans="1:7" s="373" customFormat="1" ht="13.8" x14ac:dyDescent="0.3">
      <c r="A2673" s="378"/>
      <c r="B2673" s="378"/>
      <c r="C2673" s="379"/>
      <c r="D2673" s="379"/>
      <c r="E2673" s="379"/>
      <c r="F2673" s="379"/>
      <c r="G2673" s="380"/>
    </row>
    <row r="2674" spans="1:7" s="373" customFormat="1" ht="13.8" x14ac:dyDescent="0.3">
      <c r="A2674" s="378"/>
      <c r="B2674" s="378"/>
      <c r="C2674" s="379"/>
      <c r="D2674" s="379"/>
      <c r="E2674" s="379"/>
      <c r="F2674" s="379"/>
      <c r="G2674" s="380"/>
    </row>
    <row r="2675" spans="1:7" s="373" customFormat="1" ht="13.8" x14ac:dyDescent="0.3">
      <c r="A2675" s="378"/>
      <c r="B2675" s="378"/>
      <c r="C2675" s="379"/>
      <c r="D2675" s="379"/>
      <c r="E2675" s="379"/>
      <c r="F2675" s="379"/>
      <c r="G2675" s="380"/>
    </row>
    <row r="2676" spans="1:7" s="373" customFormat="1" ht="13.8" x14ac:dyDescent="0.3">
      <c r="A2676" s="378"/>
      <c r="B2676" s="378"/>
      <c r="C2676" s="379"/>
      <c r="D2676" s="379"/>
      <c r="E2676" s="379"/>
      <c r="F2676" s="379"/>
      <c r="G2676" s="380"/>
    </row>
    <row r="2677" spans="1:7" s="373" customFormat="1" ht="13.8" x14ac:dyDescent="0.3">
      <c r="A2677" s="378"/>
      <c r="B2677" s="378"/>
      <c r="C2677" s="379"/>
      <c r="D2677" s="379"/>
      <c r="E2677" s="379"/>
      <c r="F2677" s="379"/>
      <c r="G2677" s="380"/>
    </row>
    <row r="2678" spans="1:7" s="373" customFormat="1" ht="13.8" x14ac:dyDescent="0.3">
      <c r="A2678" s="378"/>
      <c r="B2678" s="378"/>
      <c r="C2678" s="379"/>
      <c r="D2678" s="379"/>
      <c r="E2678" s="379"/>
      <c r="F2678" s="379"/>
      <c r="G2678" s="380"/>
    </row>
    <row r="2679" spans="1:7" s="373" customFormat="1" ht="13.8" x14ac:dyDescent="0.3">
      <c r="A2679" s="378"/>
      <c r="B2679" s="378"/>
      <c r="C2679" s="379"/>
      <c r="D2679" s="379"/>
      <c r="E2679" s="379"/>
      <c r="F2679" s="379"/>
      <c r="G2679" s="380"/>
    </row>
    <row r="2680" spans="1:7" s="373" customFormat="1" ht="13.8" x14ac:dyDescent="0.3">
      <c r="A2680" s="378"/>
      <c r="B2680" s="378"/>
      <c r="C2680" s="379"/>
      <c r="D2680" s="379"/>
      <c r="E2680" s="379"/>
      <c r="F2680" s="379"/>
      <c r="G2680" s="380"/>
    </row>
    <row r="2681" spans="1:7" s="373" customFormat="1" ht="13.8" x14ac:dyDescent="0.3">
      <c r="A2681" s="378"/>
      <c r="B2681" s="378"/>
      <c r="C2681" s="379"/>
      <c r="D2681" s="379"/>
      <c r="E2681" s="379"/>
      <c r="F2681" s="379"/>
      <c r="G2681" s="380"/>
    </row>
    <row r="2682" spans="1:7" s="373" customFormat="1" ht="13.8" x14ac:dyDescent="0.3">
      <c r="A2682" s="378"/>
      <c r="B2682" s="378"/>
      <c r="C2682" s="379"/>
      <c r="D2682" s="379"/>
      <c r="E2682" s="379"/>
      <c r="F2682" s="379"/>
      <c r="G2682" s="380"/>
    </row>
    <row r="2683" spans="1:7" s="373" customFormat="1" ht="13.8" x14ac:dyDescent="0.3">
      <c r="A2683" s="378"/>
      <c r="B2683" s="378"/>
      <c r="C2683" s="379"/>
      <c r="D2683" s="379"/>
      <c r="E2683" s="379"/>
      <c r="F2683" s="379"/>
      <c r="G2683" s="380"/>
    </row>
    <row r="2684" spans="1:7" s="373" customFormat="1" ht="13.8" x14ac:dyDescent="0.3">
      <c r="A2684" s="378"/>
      <c r="B2684" s="378"/>
      <c r="C2684" s="379"/>
      <c r="D2684" s="379"/>
      <c r="E2684" s="379"/>
      <c r="F2684" s="379"/>
      <c r="G2684" s="380"/>
    </row>
    <row r="2685" spans="1:7" s="373" customFormat="1" ht="13.8" x14ac:dyDescent="0.3">
      <c r="A2685" s="378"/>
      <c r="B2685" s="378"/>
      <c r="C2685" s="379"/>
      <c r="D2685" s="379"/>
      <c r="E2685" s="379"/>
      <c r="F2685" s="379"/>
      <c r="G2685" s="380"/>
    </row>
    <row r="2686" spans="1:7" s="373" customFormat="1" ht="13.8" x14ac:dyDescent="0.3">
      <c r="A2686" s="378"/>
      <c r="B2686" s="378"/>
      <c r="C2686" s="379"/>
      <c r="D2686" s="379"/>
      <c r="E2686" s="379"/>
      <c r="F2686" s="379"/>
      <c r="G2686" s="380"/>
    </row>
    <row r="2687" spans="1:7" s="373" customFormat="1" ht="13.8" x14ac:dyDescent="0.3">
      <c r="A2687" s="378"/>
      <c r="B2687" s="378"/>
      <c r="C2687" s="379"/>
      <c r="D2687" s="379"/>
      <c r="E2687" s="379"/>
      <c r="F2687" s="379"/>
      <c r="G2687" s="380"/>
    </row>
    <row r="2688" spans="1:7" s="373" customFormat="1" ht="13.8" x14ac:dyDescent="0.3">
      <c r="A2688" s="378"/>
      <c r="B2688" s="378"/>
      <c r="C2688" s="379"/>
      <c r="D2688" s="379"/>
      <c r="E2688" s="379"/>
      <c r="F2688" s="379"/>
      <c r="G2688" s="380"/>
    </row>
    <row r="2689" spans="1:7" s="373" customFormat="1" ht="13.8" x14ac:dyDescent="0.3">
      <c r="A2689" s="378"/>
      <c r="B2689" s="378"/>
      <c r="C2689" s="379"/>
      <c r="D2689" s="379"/>
      <c r="E2689" s="379"/>
      <c r="F2689" s="379"/>
      <c r="G2689" s="380"/>
    </row>
    <row r="2690" spans="1:7" s="373" customFormat="1" ht="13.8" x14ac:dyDescent="0.3">
      <c r="A2690" s="378"/>
      <c r="B2690" s="378"/>
      <c r="C2690" s="379"/>
      <c r="D2690" s="379"/>
      <c r="E2690" s="379"/>
      <c r="F2690" s="379"/>
      <c r="G2690" s="380"/>
    </row>
    <row r="2691" spans="1:7" s="373" customFormat="1" ht="13.8" x14ac:dyDescent="0.3">
      <c r="A2691" s="378"/>
      <c r="B2691" s="378"/>
      <c r="C2691" s="379"/>
      <c r="D2691" s="379"/>
      <c r="E2691" s="379"/>
      <c r="F2691" s="379"/>
      <c r="G2691" s="380"/>
    </row>
    <row r="2692" spans="1:7" s="373" customFormat="1" ht="13.8" x14ac:dyDescent="0.3">
      <c r="A2692" s="378"/>
      <c r="B2692" s="378"/>
      <c r="C2692" s="379"/>
      <c r="D2692" s="379"/>
      <c r="E2692" s="379"/>
      <c r="F2692" s="379"/>
      <c r="G2692" s="380"/>
    </row>
    <row r="2693" spans="1:7" s="373" customFormat="1" ht="13.8" x14ac:dyDescent="0.3">
      <c r="A2693" s="378"/>
      <c r="B2693" s="378"/>
      <c r="C2693" s="379"/>
      <c r="D2693" s="379"/>
      <c r="E2693" s="379"/>
      <c r="F2693" s="379"/>
      <c r="G2693" s="380"/>
    </row>
    <row r="2694" spans="1:7" s="373" customFormat="1" ht="13.8" x14ac:dyDescent="0.3">
      <c r="A2694" s="378"/>
      <c r="B2694" s="378"/>
      <c r="C2694" s="379"/>
      <c r="D2694" s="379"/>
      <c r="E2694" s="379"/>
      <c r="F2694" s="379"/>
      <c r="G2694" s="380"/>
    </row>
    <row r="2695" spans="1:7" s="373" customFormat="1" ht="13.8" x14ac:dyDescent="0.3">
      <c r="A2695" s="378"/>
      <c r="B2695" s="378"/>
      <c r="C2695" s="379"/>
      <c r="D2695" s="379"/>
      <c r="E2695" s="379"/>
      <c r="F2695" s="379"/>
      <c r="G2695" s="380"/>
    </row>
    <row r="2696" spans="1:7" s="373" customFormat="1" ht="13.8" x14ac:dyDescent="0.3">
      <c r="A2696" s="378"/>
      <c r="B2696" s="378"/>
      <c r="C2696" s="379"/>
      <c r="D2696" s="379"/>
      <c r="E2696" s="379"/>
      <c r="F2696" s="379"/>
      <c r="G2696" s="380"/>
    </row>
    <row r="2697" spans="1:7" s="373" customFormat="1" ht="13.8" x14ac:dyDescent="0.3">
      <c r="A2697" s="378"/>
      <c r="B2697" s="378"/>
      <c r="C2697" s="379"/>
      <c r="D2697" s="379"/>
      <c r="E2697" s="379"/>
      <c r="F2697" s="379"/>
      <c r="G2697" s="380"/>
    </row>
    <row r="2698" spans="1:7" s="373" customFormat="1" ht="13.8" x14ac:dyDescent="0.3">
      <c r="A2698" s="378"/>
      <c r="B2698" s="378"/>
      <c r="C2698" s="379"/>
      <c r="D2698" s="379"/>
      <c r="E2698" s="379"/>
      <c r="F2698" s="379"/>
      <c r="G2698" s="380"/>
    </row>
    <row r="2699" spans="1:7" s="373" customFormat="1" ht="13.8" x14ac:dyDescent="0.3">
      <c r="A2699" s="378"/>
      <c r="B2699" s="378"/>
      <c r="C2699" s="379"/>
      <c r="D2699" s="379"/>
      <c r="E2699" s="379"/>
      <c r="F2699" s="379"/>
      <c r="G2699" s="380"/>
    </row>
    <row r="2700" spans="1:7" s="373" customFormat="1" ht="13.8" x14ac:dyDescent="0.3">
      <c r="A2700" s="378"/>
      <c r="B2700" s="378"/>
      <c r="C2700" s="379"/>
      <c r="D2700" s="379"/>
      <c r="E2700" s="379"/>
      <c r="F2700" s="379"/>
      <c r="G2700" s="380"/>
    </row>
    <row r="2701" spans="1:7" s="373" customFormat="1" ht="13.8" x14ac:dyDescent="0.3">
      <c r="A2701" s="378"/>
      <c r="B2701" s="378"/>
      <c r="C2701" s="379"/>
      <c r="D2701" s="379"/>
      <c r="E2701" s="379"/>
      <c r="F2701" s="379"/>
      <c r="G2701" s="380"/>
    </row>
    <row r="2702" spans="1:7" s="373" customFormat="1" ht="13.8" x14ac:dyDescent="0.3">
      <c r="A2702" s="378"/>
      <c r="B2702" s="378"/>
      <c r="C2702" s="379"/>
      <c r="D2702" s="379"/>
      <c r="E2702" s="379"/>
      <c r="F2702" s="379"/>
      <c r="G2702" s="380"/>
    </row>
    <row r="2703" spans="1:7" s="373" customFormat="1" ht="13.8" x14ac:dyDescent="0.3">
      <c r="A2703" s="378"/>
      <c r="B2703" s="378"/>
      <c r="C2703" s="379"/>
      <c r="D2703" s="379"/>
      <c r="E2703" s="379"/>
      <c r="F2703" s="379"/>
      <c r="G2703" s="380"/>
    </row>
    <row r="2704" spans="1:7" s="373" customFormat="1" ht="13.8" x14ac:dyDescent="0.3">
      <c r="A2704" s="378"/>
      <c r="B2704" s="378"/>
      <c r="C2704" s="379"/>
      <c r="D2704" s="379"/>
      <c r="E2704" s="379"/>
      <c r="F2704" s="379"/>
      <c r="G2704" s="380"/>
    </row>
    <row r="2705" spans="1:7" s="373" customFormat="1" ht="13.8" x14ac:dyDescent="0.3">
      <c r="A2705" s="378"/>
      <c r="B2705" s="378"/>
      <c r="C2705" s="379"/>
      <c r="D2705" s="379"/>
      <c r="E2705" s="379"/>
      <c r="F2705" s="379"/>
      <c r="G2705" s="380"/>
    </row>
    <row r="2706" spans="1:7" s="373" customFormat="1" ht="13.8" x14ac:dyDescent="0.3">
      <c r="A2706" s="378"/>
      <c r="B2706" s="378"/>
      <c r="C2706" s="379"/>
      <c r="D2706" s="379"/>
      <c r="E2706" s="379"/>
      <c r="F2706" s="379"/>
      <c r="G2706" s="380"/>
    </row>
    <row r="2707" spans="1:7" s="373" customFormat="1" ht="13.8" x14ac:dyDescent="0.3">
      <c r="A2707" s="378"/>
      <c r="B2707" s="378"/>
      <c r="C2707" s="379"/>
      <c r="D2707" s="379"/>
      <c r="E2707" s="379"/>
      <c r="F2707" s="379"/>
      <c r="G2707" s="380"/>
    </row>
    <row r="2708" spans="1:7" s="373" customFormat="1" ht="13.8" x14ac:dyDescent="0.3">
      <c r="A2708" s="378"/>
      <c r="B2708" s="378"/>
      <c r="C2708" s="379"/>
      <c r="D2708" s="379"/>
      <c r="E2708" s="379"/>
      <c r="F2708" s="379"/>
      <c r="G2708" s="380"/>
    </row>
    <row r="2709" spans="1:7" s="373" customFormat="1" ht="13.8" x14ac:dyDescent="0.3">
      <c r="A2709" s="378"/>
      <c r="B2709" s="378"/>
      <c r="C2709" s="379"/>
      <c r="D2709" s="379"/>
      <c r="E2709" s="379"/>
      <c r="F2709" s="379"/>
      <c r="G2709" s="380"/>
    </row>
    <row r="2710" spans="1:7" s="373" customFormat="1" ht="13.8" x14ac:dyDescent="0.3">
      <c r="A2710" s="378"/>
      <c r="B2710" s="378"/>
      <c r="C2710" s="379"/>
      <c r="D2710" s="379"/>
      <c r="E2710" s="379"/>
      <c r="F2710" s="379"/>
      <c r="G2710" s="380"/>
    </row>
    <row r="2711" spans="1:7" s="373" customFormat="1" ht="13.8" x14ac:dyDescent="0.3">
      <c r="A2711" s="378"/>
      <c r="B2711" s="378"/>
      <c r="C2711" s="379"/>
      <c r="D2711" s="379"/>
      <c r="E2711" s="379"/>
      <c r="F2711" s="379"/>
      <c r="G2711" s="380"/>
    </row>
    <row r="2712" spans="1:7" s="373" customFormat="1" ht="13.8" x14ac:dyDescent="0.3">
      <c r="A2712" s="378"/>
      <c r="B2712" s="378"/>
      <c r="C2712" s="379"/>
      <c r="D2712" s="379"/>
      <c r="E2712" s="379"/>
      <c r="F2712" s="379"/>
      <c r="G2712" s="380"/>
    </row>
    <row r="2713" spans="1:7" s="373" customFormat="1" ht="13.8" x14ac:dyDescent="0.3">
      <c r="A2713" s="378"/>
      <c r="B2713" s="378"/>
      <c r="C2713" s="379"/>
      <c r="D2713" s="379"/>
      <c r="E2713" s="379"/>
      <c r="F2713" s="379"/>
      <c r="G2713" s="380"/>
    </row>
    <row r="2714" spans="1:7" s="373" customFormat="1" ht="13.8" x14ac:dyDescent="0.3">
      <c r="A2714" s="378"/>
      <c r="B2714" s="378"/>
      <c r="C2714" s="379"/>
      <c r="D2714" s="379"/>
      <c r="E2714" s="379"/>
      <c r="F2714" s="379"/>
      <c r="G2714" s="380"/>
    </row>
    <row r="2715" spans="1:7" s="373" customFormat="1" ht="13.8" x14ac:dyDescent="0.3">
      <c r="A2715" s="378"/>
      <c r="B2715" s="378"/>
      <c r="C2715" s="379"/>
      <c r="D2715" s="379"/>
      <c r="E2715" s="379"/>
      <c r="F2715" s="379"/>
      <c r="G2715" s="380"/>
    </row>
    <row r="2716" spans="1:7" s="373" customFormat="1" ht="13.8" x14ac:dyDescent="0.3">
      <c r="A2716" s="378"/>
      <c r="B2716" s="378"/>
      <c r="C2716" s="379"/>
      <c r="D2716" s="379"/>
      <c r="E2716" s="379"/>
      <c r="F2716" s="379"/>
      <c r="G2716" s="380"/>
    </row>
    <row r="2717" spans="1:7" s="373" customFormat="1" ht="13.8" x14ac:dyDescent="0.3">
      <c r="A2717" s="378"/>
      <c r="B2717" s="378"/>
      <c r="C2717" s="379"/>
      <c r="D2717" s="379"/>
      <c r="E2717" s="379"/>
      <c r="F2717" s="379"/>
      <c r="G2717" s="380"/>
    </row>
    <row r="2718" spans="1:7" s="373" customFormat="1" ht="13.8" x14ac:dyDescent="0.3">
      <c r="A2718" s="378"/>
      <c r="B2718" s="378"/>
      <c r="C2718" s="379"/>
      <c r="D2718" s="379"/>
      <c r="E2718" s="379"/>
      <c r="F2718" s="379"/>
      <c r="G2718" s="380"/>
    </row>
    <row r="2719" spans="1:7" s="373" customFormat="1" ht="13.8" x14ac:dyDescent="0.3">
      <c r="A2719" s="378"/>
      <c r="B2719" s="378"/>
      <c r="C2719" s="379"/>
      <c r="D2719" s="379"/>
      <c r="E2719" s="379"/>
      <c r="F2719" s="379"/>
      <c r="G2719" s="380"/>
    </row>
    <row r="2720" spans="1:7" s="373" customFormat="1" ht="13.8" x14ac:dyDescent="0.3">
      <c r="A2720" s="378"/>
      <c r="B2720" s="378"/>
      <c r="C2720" s="379"/>
      <c r="D2720" s="379"/>
      <c r="E2720" s="379"/>
      <c r="F2720" s="379"/>
      <c r="G2720" s="380"/>
    </row>
    <row r="2721" spans="1:7" s="373" customFormat="1" ht="13.8" x14ac:dyDescent="0.3">
      <c r="A2721" s="378"/>
      <c r="B2721" s="378"/>
      <c r="C2721" s="379"/>
      <c r="D2721" s="379"/>
      <c r="E2721" s="379"/>
      <c r="F2721" s="379"/>
      <c r="G2721" s="380"/>
    </row>
    <row r="2722" spans="1:7" s="373" customFormat="1" ht="13.8" x14ac:dyDescent="0.3">
      <c r="A2722" s="378"/>
      <c r="B2722" s="378"/>
      <c r="C2722" s="379"/>
      <c r="D2722" s="379"/>
      <c r="E2722" s="379"/>
      <c r="F2722" s="379"/>
      <c r="G2722" s="380"/>
    </row>
    <row r="2723" spans="1:7" s="373" customFormat="1" ht="13.8" x14ac:dyDescent="0.3">
      <c r="A2723" s="378"/>
      <c r="B2723" s="378"/>
      <c r="C2723" s="379"/>
      <c r="D2723" s="379"/>
      <c r="E2723" s="379"/>
      <c r="F2723" s="379"/>
      <c r="G2723" s="380"/>
    </row>
    <row r="2724" spans="1:7" s="373" customFormat="1" ht="13.8" x14ac:dyDescent="0.3">
      <c r="A2724" s="378"/>
      <c r="B2724" s="378"/>
      <c r="C2724" s="379"/>
      <c r="D2724" s="379"/>
      <c r="E2724" s="379"/>
      <c r="F2724" s="379"/>
      <c r="G2724" s="380"/>
    </row>
    <row r="2725" spans="1:7" s="373" customFormat="1" ht="13.8" x14ac:dyDescent="0.3">
      <c r="A2725" s="378"/>
      <c r="B2725" s="378"/>
      <c r="C2725" s="379"/>
      <c r="D2725" s="379"/>
      <c r="E2725" s="379"/>
      <c r="F2725" s="379"/>
      <c r="G2725" s="380"/>
    </row>
    <row r="2726" spans="1:7" s="373" customFormat="1" ht="13.8" x14ac:dyDescent="0.3">
      <c r="A2726" s="378"/>
      <c r="B2726" s="378"/>
      <c r="C2726" s="379"/>
      <c r="D2726" s="379"/>
      <c r="E2726" s="379"/>
      <c r="F2726" s="379"/>
      <c r="G2726" s="380"/>
    </row>
    <row r="2727" spans="1:7" s="373" customFormat="1" ht="13.8" x14ac:dyDescent="0.3">
      <c r="A2727" s="378"/>
      <c r="B2727" s="378"/>
      <c r="C2727" s="379"/>
      <c r="D2727" s="379"/>
      <c r="E2727" s="379"/>
      <c r="F2727" s="379"/>
      <c r="G2727" s="380"/>
    </row>
    <row r="2728" spans="1:7" s="373" customFormat="1" ht="13.8" x14ac:dyDescent="0.3">
      <c r="A2728" s="378"/>
      <c r="B2728" s="378"/>
      <c r="C2728" s="379"/>
      <c r="D2728" s="379"/>
      <c r="E2728" s="379"/>
      <c r="F2728" s="379"/>
      <c r="G2728" s="380"/>
    </row>
    <row r="2729" spans="1:7" s="373" customFormat="1" ht="13.8" x14ac:dyDescent="0.3">
      <c r="A2729" s="378"/>
      <c r="B2729" s="378"/>
      <c r="C2729" s="379"/>
      <c r="D2729" s="379"/>
      <c r="E2729" s="379"/>
      <c r="F2729" s="379"/>
      <c r="G2729" s="380"/>
    </row>
    <row r="2730" spans="1:7" s="373" customFormat="1" ht="13.8" x14ac:dyDescent="0.3">
      <c r="A2730" s="378"/>
      <c r="B2730" s="378"/>
      <c r="C2730" s="379"/>
      <c r="D2730" s="379"/>
      <c r="E2730" s="379"/>
      <c r="F2730" s="379"/>
      <c r="G2730" s="380"/>
    </row>
    <row r="2731" spans="1:7" s="373" customFormat="1" ht="13.8" x14ac:dyDescent="0.3">
      <c r="A2731" s="378"/>
      <c r="B2731" s="378"/>
      <c r="C2731" s="379"/>
      <c r="D2731" s="379"/>
      <c r="E2731" s="379"/>
      <c r="F2731" s="379"/>
      <c r="G2731" s="380"/>
    </row>
    <row r="2732" spans="1:7" s="373" customFormat="1" ht="13.8" x14ac:dyDescent="0.3">
      <c r="A2732" s="378"/>
      <c r="B2732" s="378"/>
      <c r="C2732" s="379"/>
      <c r="D2732" s="379"/>
      <c r="E2732" s="379"/>
      <c r="F2732" s="379"/>
      <c r="G2732" s="380"/>
    </row>
    <row r="2733" spans="1:7" s="373" customFormat="1" ht="13.8" x14ac:dyDescent="0.3">
      <c r="A2733" s="378"/>
      <c r="B2733" s="378"/>
      <c r="C2733" s="379"/>
      <c r="D2733" s="379"/>
      <c r="E2733" s="379"/>
      <c r="F2733" s="379"/>
      <c r="G2733" s="380"/>
    </row>
    <row r="2734" spans="1:7" s="373" customFormat="1" ht="13.8" x14ac:dyDescent="0.3">
      <c r="A2734" s="378"/>
      <c r="B2734" s="378"/>
      <c r="C2734" s="379"/>
      <c r="D2734" s="379"/>
      <c r="E2734" s="379"/>
      <c r="F2734" s="379"/>
      <c r="G2734" s="380"/>
    </row>
    <row r="2735" spans="1:7" s="373" customFormat="1" ht="13.8" x14ac:dyDescent="0.3">
      <c r="A2735" s="378"/>
      <c r="B2735" s="378"/>
      <c r="C2735" s="379"/>
      <c r="D2735" s="379"/>
      <c r="E2735" s="379"/>
      <c r="F2735" s="379"/>
      <c r="G2735" s="380"/>
    </row>
    <row r="2736" spans="1:7" s="373" customFormat="1" ht="13.8" x14ac:dyDescent="0.3">
      <c r="A2736" s="378"/>
      <c r="B2736" s="378"/>
      <c r="C2736" s="379"/>
      <c r="D2736" s="379"/>
      <c r="E2736" s="379"/>
      <c r="F2736" s="379"/>
      <c r="G2736" s="380"/>
    </row>
    <row r="2737" spans="1:7" s="373" customFormat="1" ht="13.8" x14ac:dyDescent="0.3">
      <c r="A2737" s="378"/>
      <c r="B2737" s="378"/>
      <c r="C2737" s="379"/>
      <c r="D2737" s="379"/>
      <c r="E2737" s="379"/>
      <c r="F2737" s="379"/>
      <c r="G2737" s="380"/>
    </row>
    <row r="2738" spans="1:7" s="373" customFormat="1" ht="13.8" x14ac:dyDescent="0.3">
      <c r="A2738" s="378"/>
      <c r="B2738" s="378"/>
      <c r="C2738" s="379"/>
      <c r="D2738" s="379"/>
      <c r="E2738" s="379"/>
      <c r="F2738" s="379"/>
      <c r="G2738" s="380"/>
    </row>
    <row r="2739" spans="1:7" s="373" customFormat="1" ht="13.8" x14ac:dyDescent="0.3">
      <c r="A2739" s="378"/>
      <c r="B2739" s="378"/>
      <c r="C2739" s="379"/>
      <c r="D2739" s="379"/>
      <c r="E2739" s="379"/>
      <c r="F2739" s="379"/>
      <c r="G2739" s="380"/>
    </row>
    <row r="2740" spans="1:7" s="373" customFormat="1" ht="13.8" x14ac:dyDescent="0.3">
      <c r="A2740" s="378"/>
      <c r="B2740" s="378"/>
      <c r="C2740" s="379"/>
      <c r="D2740" s="379"/>
      <c r="E2740" s="379"/>
      <c r="F2740" s="379"/>
      <c r="G2740" s="380"/>
    </row>
    <row r="2741" spans="1:7" s="373" customFormat="1" ht="13.8" x14ac:dyDescent="0.3">
      <c r="A2741" s="378"/>
      <c r="B2741" s="378"/>
      <c r="C2741" s="379"/>
      <c r="D2741" s="379"/>
      <c r="E2741" s="379"/>
      <c r="F2741" s="379"/>
      <c r="G2741" s="380"/>
    </row>
    <row r="2742" spans="1:7" s="373" customFormat="1" ht="13.8" x14ac:dyDescent="0.3">
      <c r="A2742" s="378"/>
      <c r="B2742" s="378"/>
      <c r="C2742" s="379"/>
      <c r="D2742" s="379"/>
      <c r="E2742" s="379"/>
      <c r="F2742" s="379"/>
      <c r="G2742" s="380"/>
    </row>
    <row r="2743" spans="1:7" s="373" customFormat="1" ht="13.8" x14ac:dyDescent="0.3">
      <c r="A2743" s="378"/>
      <c r="B2743" s="378"/>
      <c r="C2743" s="379"/>
      <c r="D2743" s="379"/>
      <c r="E2743" s="379"/>
      <c r="F2743" s="379"/>
      <c r="G2743" s="380"/>
    </row>
    <row r="2744" spans="1:7" s="373" customFormat="1" ht="13.8" x14ac:dyDescent="0.3">
      <c r="A2744" s="378"/>
      <c r="B2744" s="378"/>
      <c r="C2744" s="379"/>
      <c r="D2744" s="379"/>
      <c r="E2744" s="379"/>
      <c r="F2744" s="379"/>
      <c r="G2744" s="380"/>
    </row>
    <row r="2745" spans="1:7" s="373" customFormat="1" ht="13.8" x14ac:dyDescent="0.3">
      <c r="A2745" s="378"/>
      <c r="B2745" s="378"/>
      <c r="C2745" s="379"/>
      <c r="D2745" s="379"/>
      <c r="E2745" s="379"/>
      <c r="F2745" s="379"/>
      <c r="G2745" s="380"/>
    </row>
    <row r="2746" spans="1:7" s="373" customFormat="1" ht="13.8" x14ac:dyDescent="0.3">
      <c r="A2746" s="378"/>
      <c r="B2746" s="378"/>
      <c r="C2746" s="379"/>
      <c r="D2746" s="379"/>
      <c r="E2746" s="379"/>
      <c r="F2746" s="379"/>
      <c r="G2746" s="380"/>
    </row>
    <row r="2747" spans="1:7" s="373" customFormat="1" ht="13.8" x14ac:dyDescent="0.3">
      <c r="A2747" s="378"/>
      <c r="B2747" s="378"/>
      <c r="C2747" s="379"/>
      <c r="D2747" s="379"/>
      <c r="E2747" s="379"/>
      <c r="F2747" s="379"/>
      <c r="G2747" s="380"/>
    </row>
    <row r="2748" spans="1:7" s="373" customFormat="1" ht="13.8" x14ac:dyDescent="0.3">
      <c r="A2748" s="378"/>
      <c r="B2748" s="378"/>
      <c r="C2748" s="379"/>
      <c r="D2748" s="379"/>
      <c r="E2748" s="379"/>
      <c r="F2748" s="379"/>
      <c r="G2748" s="380"/>
    </row>
    <row r="2749" spans="1:7" s="373" customFormat="1" ht="13.8" x14ac:dyDescent="0.3">
      <c r="A2749" s="378"/>
      <c r="B2749" s="378"/>
      <c r="C2749" s="379"/>
      <c r="D2749" s="379"/>
      <c r="E2749" s="379"/>
      <c r="F2749" s="379"/>
      <c r="G2749" s="380"/>
    </row>
    <row r="2750" spans="1:7" s="373" customFormat="1" ht="13.8" x14ac:dyDescent="0.3">
      <c r="A2750" s="378"/>
      <c r="B2750" s="378"/>
      <c r="C2750" s="379"/>
      <c r="D2750" s="379"/>
      <c r="E2750" s="379"/>
      <c r="F2750" s="379"/>
      <c r="G2750" s="380"/>
    </row>
    <row r="2751" spans="1:7" s="373" customFormat="1" ht="13.8" x14ac:dyDescent="0.3">
      <c r="A2751" s="378"/>
      <c r="B2751" s="378"/>
      <c r="C2751" s="379"/>
      <c r="D2751" s="379"/>
      <c r="E2751" s="379"/>
      <c r="F2751" s="379"/>
      <c r="G2751" s="380"/>
    </row>
    <row r="2752" spans="1:7" s="373" customFormat="1" ht="13.8" x14ac:dyDescent="0.3">
      <c r="A2752" s="378"/>
      <c r="B2752" s="378"/>
      <c r="C2752" s="379"/>
      <c r="D2752" s="379"/>
      <c r="E2752" s="379"/>
      <c r="F2752" s="379"/>
      <c r="G2752" s="380"/>
    </row>
    <row r="2753" spans="1:7" s="373" customFormat="1" ht="13.8" x14ac:dyDescent="0.3">
      <c r="A2753" s="378"/>
      <c r="B2753" s="378"/>
      <c r="C2753" s="379"/>
      <c r="D2753" s="379"/>
      <c r="E2753" s="379"/>
      <c r="F2753" s="379"/>
      <c r="G2753" s="380"/>
    </row>
    <row r="2754" spans="1:7" s="373" customFormat="1" ht="13.8" x14ac:dyDescent="0.3">
      <c r="A2754" s="378"/>
      <c r="B2754" s="378"/>
      <c r="C2754" s="379"/>
      <c r="D2754" s="379"/>
      <c r="E2754" s="379"/>
      <c r="F2754" s="379"/>
      <c r="G2754" s="380"/>
    </row>
    <row r="2755" spans="1:7" s="373" customFormat="1" ht="13.8" x14ac:dyDescent="0.3">
      <c r="A2755" s="378"/>
      <c r="B2755" s="378"/>
      <c r="C2755" s="379"/>
      <c r="D2755" s="379"/>
      <c r="E2755" s="379"/>
      <c r="F2755" s="379"/>
      <c r="G2755" s="380"/>
    </row>
    <row r="2756" spans="1:7" s="373" customFormat="1" ht="13.8" x14ac:dyDescent="0.3">
      <c r="A2756" s="378"/>
      <c r="B2756" s="378"/>
      <c r="C2756" s="379"/>
      <c r="D2756" s="379"/>
      <c r="E2756" s="379"/>
      <c r="F2756" s="379"/>
      <c r="G2756" s="380"/>
    </row>
    <row r="2757" spans="1:7" s="373" customFormat="1" ht="13.8" x14ac:dyDescent="0.3">
      <c r="A2757" s="378"/>
      <c r="B2757" s="378"/>
      <c r="C2757" s="379"/>
      <c r="D2757" s="379"/>
      <c r="E2757" s="379"/>
      <c r="F2757" s="379"/>
      <c r="G2757" s="380"/>
    </row>
    <row r="2758" spans="1:7" s="373" customFormat="1" ht="13.8" x14ac:dyDescent="0.3">
      <c r="A2758" s="378"/>
      <c r="B2758" s="378"/>
      <c r="C2758" s="379"/>
      <c r="D2758" s="379"/>
      <c r="E2758" s="379"/>
      <c r="F2758" s="379"/>
      <c r="G2758" s="380"/>
    </row>
    <row r="2759" spans="1:7" s="373" customFormat="1" ht="13.8" x14ac:dyDescent="0.3">
      <c r="A2759" s="378"/>
      <c r="B2759" s="378"/>
      <c r="C2759" s="379"/>
      <c r="D2759" s="379"/>
      <c r="E2759" s="379"/>
      <c r="F2759" s="379"/>
      <c r="G2759" s="380"/>
    </row>
    <row r="2760" spans="1:7" s="373" customFormat="1" ht="13.8" x14ac:dyDescent="0.3">
      <c r="A2760" s="378"/>
      <c r="B2760" s="378"/>
      <c r="C2760" s="379"/>
      <c r="D2760" s="379"/>
      <c r="E2760" s="379"/>
      <c r="F2760" s="379"/>
      <c r="G2760" s="380"/>
    </row>
    <row r="2761" spans="1:7" s="373" customFormat="1" ht="13.8" x14ac:dyDescent="0.3">
      <c r="A2761" s="378"/>
      <c r="B2761" s="378"/>
      <c r="C2761" s="379"/>
      <c r="D2761" s="379"/>
      <c r="E2761" s="379"/>
      <c r="F2761" s="379"/>
      <c r="G2761" s="380"/>
    </row>
    <row r="2762" spans="1:7" s="373" customFormat="1" ht="13.8" x14ac:dyDescent="0.3">
      <c r="A2762" s="378"/>
      <c r="B2762" s="378"/>
      <c r="C2762" s="379"/>
      <c r="D2762" s="379"/>
      <c r="E2762" s="379"/>
      <c r="F2762" s="379"/>
      <c r="G2762" s="380"/>
    </row>
    <row r="2763" spans="1:7" s="373" customFormat="1" ht="13.8" x14ac:dyDescent="0.3">
      <c r="A2763" s="378"/>
      <c r="B2763" s="378"/>
      <c r="C2763" s="379"/>
      <c r="D2763" s="379"/>
      <c r="E2763" s="379"/>
      <c r="F2763" s="379"/>
      <c r="G2763" s="380"/>
    </row>
    <row r="2764" spans="1:7" s="373" customFormat="1" ht="13.8" x14ac:dyDescent="0.3">
      <c r="A2764" s="378"/>
      <c r="B2764" s="378"/>
      <c r="C2764" s="379"/>
      <c r="D2764" s="379"/>
      <c r="E2764" s="379"/>
      <c r="F2764" s="379"/>
      <c r="G2764" s="380"/>
    </row>
    <row r="2765" spans="1:7" s="373" customFormat="1" ht="13.8" x14ac:dyDescent="0.3">
      <c r="A2765" s="378"/>
      <c r="B2765" s="378"/>
      <c r="C2765" s="379"/>
      <c r="D2765" s="379"/>
      <c r="E2765" s="379"/>
      <c r="F2765" s="379"/>
      <c r="G2765" s="380"/>
    </row>
    <row r="2766" spans="1:7" s="373" customFormat="1" ht="13.8" x14ac:dyDescent="0.3">
      <c r="A2766" s="378"/>
      <c r="B2766" s="378"/>
      <c r="C2766" s="379"/>
      <c r="D2766" s="379"/>
      <c r="E2766" s="379"/>
      <c r="F2766" s="379"/>
      <c r="G2766" s="380"/>
    </row>
    <row r="2767" spans="1:7" s="373" customFormat="1" ht="13.8" x14ac:dyDescent="0.3">
      <c r="A2767" s="378"/>
      <c r="B2767" s="378"/>
      <c r="C2767" s="379"/>
      <c r="D2767" s="379"/>
      <c r="E2767" s="379"/>
      <c r="F2767" s="379"/>
      <c r="G2767" s="380"/>
    </row>
    <row r="2768" spans="1:7" s="373" customFormat="1" ht="13.8" x14ac:dyDescent="0.3">
      <c r="A2768" s="378"/>
      <c r="B2768" s="378"/>
      <c r="C2768" s="379"/>
      <c r="D2768" s="379"/>
      <c r="E2768" s="379"/>
      <c r="F2768" s="379"/>
      <c r="G2768" s="380"/>
    </row>
    <row r="2769" spans="1:7" s="373" customFormat="1" ht="13.8" x14ac:dyDescent="0.3">
      <c r="A2769" s="378"/>
      <c r="B2769" s="378"/>
      <c r="C2769" s="379"/>
      <c r="D2769" s="379"/>
      <c r="E2769" s="379"/>
      <c r="F2769" s="379"/>
      <c r="G2769" s="380"/>
    </row>
    <row r="2770" spans="1:7" s="373" customFormat="1" ht="13.8" x14ac:dyDescent="0.3">
      <c r="A2770" s="378"/>
      <c r="B2770" s="378"/>
      <c r="C2770" s="379"/>
      <c r="D2770" s="379"/>
      <c r="E2770" s="379"/>
      <c r="F2770" s="379"/>
      <c r="G2770" s="380"/>
    </row>
    <row r="2771" spans="1:7" s="373" customFormat="1" ht="13.8" x14ac:dyDescent="0.3">
      <c r="A2771" s="378"/>
      <c r="B2771" s="378"/>
      <c r="C2771" s="379"/>
      <c r="D2771" s="379"/>
      <c r="E2771" s="379"/>
      <c r="F2771" s="379"/>
      <c r="G2771" s="380"/>
    </row>
    <row r="2772" spans="1:7" s="373" customFormat="1" ht="13.8" x14ac:dyDescent="0.3">
      <c r="A2772" s="378"/>
      <c r="B2772" s="378"/>
      <c r="C2772" s="379"/>
      <c r="D2772" s="379"/>
      <c r="E2772" s="379"/>
      <c r="F2772" s="379"/>
      <c r="G2772" s="380"/>
    </row>
    <row r="2773" spans="1:7" s="373" customFormat="1" ht="13.8" x14ac:dyDescent="0.3">
      <c r="A2773" s="378"/>
      <c r="B2773" s="378"/>
      <c r="C2773" s="379"/>
      <c r="D2773" s="379"/>
      <c r="E2773" s="379"/>
      <c r="F2773" s="379"/>
      <c r="G2773" s="380"/>
    </row>
    <row r="2774" spans="1:7" s="373" customFormat="1" ht="13.8" x14ac:dyDescent="0.3">
      <c r="A2774" s="378"/>
      <c r="B2774" s="378"/>
      <c r="C2774" s="379"/>
      <c r="D2774" s="379"/>
      <c r="E2774" s="379"/>
      <c r="F2774" s="379"/>
      <c r="G2774" s="380"/>
    </row>
    <row r="2775" spans="1:7" s="373" customFormat="1" ht="13.8" x14ac:dyDescent="0.3">
      <c r="C2775" s="381"/>
      <c r="D2775" s="381"/>
      <c r="E2775" s="381"/>
      <c r="F2775" s="381"/>
      <c r="G2775" s="382"/>
    </row>
    <row r="2776" spans="1:7" s="373" customFormat="1" ht="13.8" x14ac:dyDescent="0.3">
      <c r="C2776" s="381"/>
      <c r="D2776" s="381"/>
      <c r="E2776" s="381"/>
      <c r="F2776" s="381"/>
      <c r="G2776" s="382"/>
    </row>
    <row r="2777" spans="1:7" s="373" customFormat="1" ht="13.8" x14ac:dyDescent="0.3">
      <c r="C2777" s="381"/>
      <c r="D2777" s="381"/>
      <c r="E2777" s="381"/>
      <c r="F2777" s="381"/>
      <c r="G2777" s="382"/>
    </row>
    <row r="2778" spans="1:7" s="373" customFormat="1" ht="13.8" x14ac:dyDescent="0.3">
      <c r="C2778" s="381"/>
      <c r="D2778" s="381"/>
      <c r="E2778" s="381"/>
      <c r="F2778" s="381"/>
      <c r="G2778" s="382"/>
    </row>
    <row r="2779" spans="1:7" s="373" customFormat="1" ht="13.8" x14ac:dyDescent="0.3">
      <c r="C2779" s="381"/>
      <c r="D2779" s="381"/>
      <c r="E2779" s="381"/>
      <c r="F2779" s="381"/>
      <c r="G2779" s="382"/>
    </row>
    <row r="2780" spans="1:7" s="373" customFormat="1" ht="13.8" x14ac:dyDescent="0.3">
      <c r="C2780" s="381"/>
      <c r="D2780" s="381"/>
      <c r="E2780" s="381"/>
      <c r="F2780" s="381"/>
      <c r="G2780" s="382"/>
    </row>
    <row r="2781" spans="1:7" s="373" customFormat="1" ht="13.8" x14ac:dyDescent="0.3">
      <c r="C2781" s="381"/>
      <c r="D2781" s="381"/>
      <c r="E2781" s="381"/>
      <c r="F2781" s="381"/>
      <c r="G2781" s="382"/>
    </row>
    <row r="2782" spans="1:7" s="373" customFormat="1" ht="13.8" x14ac:dyDescent="0.3">
      <c r="C2782" s="381"/>
      <c r="D2782" s="381"/>
      <c r="E2782" s="381"/>
      <c r="F2782" s="381"/>
      <c r="G2782" s="382"/>
    </row>
    <row r="2783" spans="1:7" s="373" customFormat="1" ht="13.8" x14ac:dyDescent="0.3">
      <c r="C2783" s="381"/>
      <c r="D2783" s="381"/>
      <c r="E2783" s="381"/>
      <c r="F2783" s="381"/>
      <c r="G2783" s="382"/>
    </row>
    <row r="2784" spans="1:7" s="373" customFormat="1" ht="13.8" x14ac:dyDescent="0.3">
      <c r="C2784" s="381"/>
      <c r="D2784" s="381"/>
      <c r="E2784" s="381"/>
      <c r="F2784" s="381"/>
      <c r="G2784" s="382"/>
    </row>
    <row r="2785" spans="3:7" s="373" customFormat="1" ht="13.8" x14ac:dyDescent="0.3">
      <c r="C2785" s="381"/>
      <c r="D2785" s="381"/>
      <c r="E2785" s="381"/>
      <c r="F2785" s="381"/>
      <c r="G2785" s="382"/>
    </row>
    <row r="2786" spans="3:7" s="373" customFormat="1" ht="13.8" x14ac:dyDescent="0.3">
      <c r="C2786" s="381"/>
      <c r="D2786" s="381"/>
      <c r="E2786" s="381"/>
      <c r="F2786" s="381"/>
      <c r="G2786" s="382"/>
    </row>
    <row r="2787" spans="3:7" s="373" customFormat="1" ht="13.8" x14ac:dyDescent="0.3">
      <c r="C2787" s="381"/>
      <c r="D2787" s="381"/>
      <c r="E2787" s="381"/>
      <c r="F2787" s="381"/>
      <c r="G2787" s="382"/>
    </row>
    <row r="2788" spans="3:7" s="373" customFormat="1" ht="13.8" x14ac:dyDescent="0.3">
      <c r="C2788" s="381"/>
      <c r="D2788" s="381"/>
      <c r="E2788" s="381"/>
      <c r="F2788" s="381"/>
      <c r="G2788" s="382"/>
    </row>
    <row r="2789" spans="3:7" s="373" customFormat="1" ht="13.8" x14ac:dyDescent="0.3">
      <c r="C2789" s="381"/>
      <c r="D2789" s="381"/>
      <c r="E2789" s="381"/>
      <c r="F2789" s="381"/>
      <c r="G2789" s="382"/>
    </row>
    <row r="2790" spans="3:7" s="373" customFormat="1" ht="13.8" x14ac:dyDescent="0.3">
      <c r="C2790" s="381"/>
      <c r="D2790" s="381"/>
      <c r="E2790" s="381"/>
      <c r="F2790" s="381"/>
      <c r="G2790" s="382"/>
    </row>
    <row r="2791" spans="3:7" s="373" customFormat="1" ht="13.8" x14ac:dyDescent="0.3">
      <c r="C2791" s="381"/>
      <c r="D2791" s="381"/>
      <c r="E2791" s="381"/>
      <c r="F2791" s="381"/>
      <c r="G2791" s="382"/>
    </row>
    <row r="2792" spans="3:7" s="373" customFormat="1" ht="13.8" x14ac:dyDescent="0.3">
      <c r="C2792" s="381"/>
      <c r="D2792" s="381"/>
      <c r="E2792" s="381"/>
      <c r="F2792" s="381"/>
      <c r="G2792" s="382"/>
    </row>
    <row r="2793" spans="3:7" s="373" customFormat="1" ht="13.8" x14ac:dyDescent="0.3">
      <c r="C2793" s="381"/>
      <c r="D2793" s="381"/>
      <c r="E2793" s="381"/>
      <c r="F2793" s="381"/>
      <c r="G2793" s="382"/>
    </row>
    <row r="2794" spans="3:7" s="373" customFormat="1" ht="13.8" x14ac:dyDescent="0.3">
      <c r="C2794" s="381"/>
      <c r="D2794" s="381"/>
      <c r="E2794" s="381"/>
      <c r="F2794" s="381"/>
      <c r="G2794" s="382"/>
    </row>
    <row r="2795" spans="3:7" s="373" customFormat="1" ht="13.8" x14ac:dyDescent="0.3">
      <c r="C2795" s="381"/>
      <c r="D2795" s="381"/>
      <c r="E2795" s="381"/>
      <c r="F2795" s="381"/>
      <c r="G2795" s="382"/>
    </row>
    <row r="2796" spans="3:7" s="373" customFormat="1" ht="13.8" x14ac:dyDescent="0.3">
      <c r="C2796" s="381"/>
      <c r="D2796" s="381"/>
      <c r="E2796" s="381"/>
      <c r="F2796" s="381"/>
      <c r="G2796" s="382"/>
    </row>
    <row r="2797" spans="3:7" s="373" customFormat="1" ht="13.8" x14ac:dyDescent="0.3">
      <c r="C2797" s="381"/>
      <c r="D2797" s="381"/>
      <c r="E2797" s="381"/>
      <c r="F2797" s="381"/>
      <c r="G2797" s="382"/>
    </row>
    <row r="2798" spans="3:7" s="373" customFormat="1" ht="13.8" x14ac:dyDescent="0.3">
      <c r="C2798" s="381"/>
      <c r="D2798" s="381"/>
      <c r="E2798" s="381"/>
      <c r="F2798" s="381"/>
      <c r="G2798" s="382"/>
    </row>
    <row r="2799" spans="3:7" s="373" customFormat="1" ht="13.8" x14ac:dyDescent="0.3">
      <c r="C2799" s="381"/>
      <c r="D2799" s="381"/>
      <c r="E2799" s="381"/>
      <c r="F2799" s="381"/>
      <c r="G2799" s="382"/>
    </row>
    <row r="2800" spans="3:7" s="373" customFormat="1" ht="13.8" x14ac:dyDescent="0.3">
      <c r="C2800" s="381"/>
      <c r="D2800" s="381"/>
      <c r="E2800" s="381"/>
      <c r="F2800" s="381"/>
      <c r="G2800" s="382"/>
    </row>
    <row r="2801" spans="3:7" s="373" customFormat="1" ht="13.8" x14ac:dyDescent="0.3">
      <c r="C2801" s="381"/>
      <c r="D2801" s="381"/>
      <c r="E2801" s="381"/>
      <c r="F2801" s="381"/>
      <c r="G2801" s="382"/>
    </row>
    <row r="2802" spans="3:7" s="373" customFormat="1" ht="13.8" x14ac:dyDescent="0.3">
      <c r="C2802" s="381"/>
      <c r="D2802" s="381"/>
      <c r="E2802" s="381"/>
      <c r="F2802" s="381"/>
      <c r="G2802" s="382"/>
    </row>
    <row r="2803" spans="3:7" s="373" customFormat="1" ht="13.8" x14ac:dyDescent="0.3">
      <c r="C2803" s="381"/>
      <c r="D2803" s="381"/>
      <c r="E2803" s="381"/>
      <c r="F2803" s="381"/>
      <c r="G2803" s="382"/>
    </row>
    <row r="2804" spans="3:7" s="373" customFormat="1" ht="13.8" x14ac:dyDescent="0.3">
      <c r="C2804" s="381"/>
      <c r="D2804" s="381"/>
      <c r="E2804" s="381"/>
      <c r="F2804" s="381"/>
      <c r="G2804" s="382"/>
    </row>
    <row r="2805" spans="3:7" s="373" customFormat="1" ht="13.8" x14ac:dyDescent="0.3">
      <c r="C2805" s="381"/>
      <c r="D2805" s="381"/>
      <c r="E2805" s="381"/>
      <c r="F2805" s="381"/>
      <c r="G2805" s="382"/>
    </row>
    <row r="2806" spans="3:7" s="373" customFormat="1" ht="13.8" x14ac:dyDescent="0.3">
      <c r="C2806" s="381"/>
      <c r="D2806" s="381"/>
      <c r="E2806" s="381"/>
      <c r="F2806" s="381"/>
      <c r="G2806" s="382"/>
    </row>
    <row r="2807" spans="3:7" s="373" customFormat="1" ht="13.8" x14ac:dyDescent="0.3">
      <c r="C2807" s="381"/>
      <c r="D2807" s="381"/>
      <c r="E2807" s="381"/>
      <c r="F2807" s="381"/>
      <c r="G2807" s="382"/>
    </row>
    <row r="2808" spans="3:7" s="373" customFormat="1" ht="13.8" x14ac:dyDescent="0.3">
      <c r="C2808" s="381"/>
      <c r="D2808" s="381"/>
      <c r="E2808" s="381"/>
      <c r="F2808" s="381"/>
      <c r="G2808" s="382"/>
    </row>
    <row r="2809" spans="3:7" s="373" customFormat="1" ht="13.8" x14ac:dyDescent="0.3">
      <c r="C2809" s="381"/>
      <c r="D2809" s="381"/>
      <c r="E2809" s="381"/>
      <c r="F2809" s="381"/>
      <c r="G2809" s="382"/>
    </row>
    <row r="2810" spans="3:7" s="373" customFormat="1" ht="13.8" x14ac:dyDescent="0.3">
      <c r="C2810" s="381"/>
      <c r="D2810" s="381"/>
      <c r="E2810" s="381"/>
      <c r="F2810" s="381"/>
      <c r="G2810" s="382"/>
    </row>
    <row r="2811" spans="3:7" s="373" customFormat="1" ht="13.8" x14ac:dyDescent="0.3">
      <c r="C2811" s="381"/>
      <c r="D2811" s="381"/>
      <c r="E2811" s="381"/>
      <c r="F2811" s="381"/>
      <c r="G2811" s="382"/>
    </row>
    <row r="2812" spans="3:7" s="373" customFormat="1" ht="13.8" x14ac:dyDescent="0.3">
      <c r="C2812" s="381"/>
      <c r="D2812" s="381"/>
      <c r="E2812" s="381"/>
      <c r="F2812" s="381"/>
      <c r="G2812" s="382"/>
    </row>
    <row r="2813" spans="3:7" s="373" customFormat="1" ht="13.8" x14ac:dyDescent="0.3">
      <c r="C2813" s="381"/>
      <c r="D2813" s="381"/>
      <c r="E2813" s="381"/>
      <c r="F2813" s="381"/>
      <c r="G2813" s="382"/>
    </row>
    <row r="2814" spans="3:7" s="373" customFormat="1" ht="13.8" x14ac:dyDescent="0.3">
      <c r="C2814" s="381"/>
      <c r="D2814" s="381"/>
      <c r="E2814" s="381"/>
      <c r="F2814" s="381"/>
      <c r="G2814" s="382"/>
    </row>
    <row r="2815" spans="3:7" s="373" customFormat="1" ht="13.8" x14ac:dyDescent="0.3">
      <c r="C2815" s="381"/>
      <c r="D2815" s="381"/>
      <c r="E2815" s="381"/>
      <c r="F2815" s="381"/>
      <c r="G2815" s="382"/>
    </row>
    <row r="2816" spans="3:7" s="373" customFormat="1" ht="13.8" x14ac:dyDescent="0.3">
      <c r="C2816" s="381"/>
      <c r="D2816" s="381"/>
      <c r="E2816" s="381"/>
      <c r="F2816" s="381"/>
      <c r="G2816" s="382"/>
    </row>
    <row r="2817" spans="3:7" s="373" customFormat="1" ht="13.8" x14ac:dyDescent="0.3">
      <c r="C2817" s="381"/>
      <c r="D2817" s="381"/>
      <c r="E2817" s="381"/>
      <c r="F2817" s="381"/>
      <c r="G2817" s="382"/>
    </row>
    <row r="2818" spans="3:7" s="373" customFormat="1" ht="13.8" x14ac:dyDescent="0.3">
      <c r="C2818" s="381"/>
      <c r="D2818" s="381"/>
      <c r="E2818" s="381"/>
      <c r="F2818" s="381"/>
      <c r="G2818" s="382"/>
    </row>
    <row r="2819" spans="3:7" s="373" customFormat="1" ht="13.8" x14ac:dyDescent="0.3">
      <c r="C2819" s="381"/>
      <c r="D2819" s="381"/>
      <c r="E2819" s="381"/>
      <c r="F2819" s="381"/>
      <c r="G2819" s="382"/>
    </row>
    <row r="2820" spans="3:7" s="373" customFormat="1" ht="13.8" x14ac:dyDescent="0.3">
      <c r="C2820" s="381"/>
      <c r="D2820" s="381"/>
      <c r="E2820" s="381"/>
      <c r="F2820" s="381"/>
      <c r="G2820" s="382"/>
    </row>
    <row r="2821" spans="3:7" s="373" customFormat="1" ht="13.8" x14ac:dyDescent="0.3">
      <c r="C2821" s="381"/>
      <c r="D2821" s="381"/>
      <c r="E2821" s="381"/>
      <c r="F2821" s="381"/>
      <c r="G2821" s="382"/>
    </row>
    <row r="2822" spans="3:7" s="373" customFormat="1" ht="13.8" x14ac:dyDescent="0.3">
      <c r="C2822" s="381"/>
      <c r="D2822" s="381"/>
      <c r="E2822" s="381"/>
      <c r="F2822" s="381"/>
      <c r="G2822" s="382"/>
    </row>
    <row r="2823" spans="3:7" s="373" customFormat="1" ht="13.8" x14ac:dyDescent="0.3">
      <c r="C2823" s="381"/>
      <c r="D2823" s="381"/>
      <c r="E2823" s="381"/>
      <c r="F2823" s="381"/>
      <c r="G2823" s="382"/>
    </row>
    <row r="2824" spans="3:7" s="373" customFormat="1" ht="13.8" x14ac:dyDescent="0.3">
      <c r="C2824" s="381"/>
      <c r="D2824" s="381"/>
      <c r="E2824" s="381"/>
      <c r="F2824" s="381"/>
      <c r="G2824" s="382"/>
    </row>
    <row r="2825" spans="3:7" s="373" customFormat="1" ht="13.8" x14ac:dyDescent="0.3">
      <c r="C2825" s="381"/>
      <c r="D2825" s="381"/>
      <c r="E2825" s="381"/>
      <c r="F2825" s="381"/>
      <c r="G2825" s="382"/>
    </row>
    <row r="2826" spans="3:7" s="373" customFormat="1" ht="13.8" x14ac:dyDescent="0.3">
      <c r="C2826" s="381"/>
      <c r="D2826" s="381"/>
      <c r="E2826" s="381"/>
      <c r="F2826" s="381"/>
      <c r="G2826" s="382"/>
    </row>
    <row r="2827" spans="3:7" s="373" customFormat="1" ht="13.8" x14ac:dyDescent="0.3">
      <c r="C2827" s="381"/>
      <c r="D2827" s="381"/>
      <c r="E2827" s="381"/>
      <c r="F2827" s="381"/>
      <c r="G2827" s="382"/>
    </row>
    <row r="2828" spans="3:7" s="373" customFormat="1" ht="13.8" x14ac:dyDescent="0.3">
      <c r="C2828" s="381"/>
      <c r="D2828" s="381"/>
      <c r="E2828" s="381"/>
      <c r="F2828" s="381"/>
      <c r="G2828" s="382"/>
    </row>
    <row r="2829" spans="3:7" s="373" customFormat="1" ht="13.8" x14ac:dyDescent="0.3">
      <c r="C2829" s="381"/>
      <c r="D2829" s="381"/>
      <c r="E2829" s="381"/>
      <c r="F2829" s="381"/>
      <c r="G2829" s="382"/>
    </row>
    <row r="2830" spans="3:7" s="373" customFormat="1" ht="13.8" x14ac:dyDescent="0.3">
      <c r="C2830" s="381"/>
      <c r="D2830" s="381"/>
      <c r="E2830" s="381"/>
      <c r="F2830" s="381"/>
      <c r="G2830" s="382"/>
    </row>
    <row r="2831" spans="3:7" s="373" customFormat="1" ht="13.8" x14ac:dyDescent="0.3">
      <c r="C2831" s="381"/>
      <c r="D2831" s="381"/>
      <c r="E2831" s="381"/>
      <c r="F2831" s="381"/>
      <c r="G2831" s="382"/>
    </row>
    <row r="2832" spans="3:7" s="373" customFormat="1" ht="13.8" x14ac:dyDescent="0.3">
      <c r="C2832" s="381"/>
      <c r="D2832" s="381"/>
      <c r="E2832" s="381"/>
      <c r="F2832" s="381"/>
      <c r="G2832" s="382"/>
    </row>
    <row r="2833" spans="3:7" s="373" customFormat="1" ht="13.8" x14ac:dyDescent="0.3">
      <c r="C2833" s="381"/>
      <c r="D2833" s="381"/>
      <c r="E2833" s="381"/>
      <c r="F2833" s="381"/>
      <c r="G2833" s="382"/>
    </row>
    <row r="2834" spans="3:7" s="373" customFormat="1" ht="13.8" x14ac:dyDescent="0.3">
      <c r="C2834" s="381"/>
      <c r="D2834" s="381"/>
      <c r="E2834" s="381"/>
      <c r="F2834" s="381"/>
      <c r="G2834" s="382"/>
    </row>
    <row r="2835" spans="3:7" s="373" customFormat="1" ht="13.8" x14ac:dyDescent="0.3">
      <c r="C2835" s="381"/>
      <c r="D2835" s="381"/>
      <c r="E2835" s="381"/>
      <c r="F2835" s="381"/>
      <c r="G2835" s="382"/>
    </row>
    <row r="2836" spans="3:7" s="373" customFormat="1" ht="13.8" x14ac:dyDescent="0.3">
      <c r="C2836" s="381"/>
      <c r="D2836" s="381"/>
      <c r="E2836" s="381"/>
      <c r="F2836" s="381"/>
      <c r="G2836" s="382"/>
    </row>
    <row r="2837" spans="3:7" s="373" customFormat="1" ht="13.8" x14ac:dyDescent="0.3">
      <c r="C2837" s="381"/>
      <c r="D2837" s="381"/>
      <c r="E2837" s="381"/>
      <c r="F2837" s="381"/>
      <c r="G2837" s="382"/>
    </row>
    <row r="2838" spans="3:7" s="373" customFormat="1" ht="13.8" x14ac:dyDescent="0.3">
      <c r="C2838" s="381"/>
      <c r="D2838" s="381"/>
      <c r="E2838" s="381"/>
      <c r="F2838" s="381"/>
      <c r="G2838" s="382"/>
    </row>
    <row r="2839" spans="3:7" s="373" customFormat="1" ht="13.8" x14ac:dyDescent="0.3">
      <c r="C2839" s="381"/>
      <c r="D2839" s="381"/>
      <c r="E2839" s="381"/>
      <c r="F2839" s="381"/>
      <c r="G2839" s="382"/>
    </row>
    <row r="2840" spans="3:7" s="373" customFormat="1" ht="13.8" x14ac:dyDescent="0.3">
      <c r="C2840" s="381"/>
      <c r="D2840" s="381"/>
      <c r="E2840" s="381"/>
      <c r="F2840" s="381"/>
      <c r="G2840" s="382"/>
    </row>
    <row r="2841" spans="3:7" s="373" customFormat="1" ht="13.8" x14ac:dyDescent="0.3">
      <c r="C2841" s="381"/>
      <c r="D2841" s="381"/>
      <c r="E2841" s="381"/>
      <c r="F2841" s="381"/>
      <c r="G2841" s="382"/>
    </row>
    <row r="2842" spans="3:7" s="373" customFormat="1" ht="13.8" x14ac:dyDescent="0.3">
      <c r="C2842" s="381"/>
      <c r="D2842" s="381"/>
      <c r="E2842" s="381"/>
      <c r="F2842" s="381"/>
      <c r="G2842" s="382"/>
    </row>
    <row r="2843" spans="3:7" s="373" customFormat="1" ht="13.8" x14ac:dyDescent="0.3">
      <c r="C2843" s="381"/>
      <c r="D2843" s="381"/>
      <c r="E2843" s="381"/>
      <c r="F2843" s="381"/>
      <c r="G2843" s="382"/>
    </row>
    <row r="2844" spans="3:7" s="373" customFormat="1" ht="13.8" x14ac:dyDescent="0.3">
      <c r="C2844" s="381"/>
      <c r="D2844" s="381"/>
      <c r="E2844" s="381"/>
      <c r="F2844" s="381"/>
      <c r="G2844" s="382"/>
    </row>
    <row r="2845" spans="3:7" s="373" customFormat="1" ht="13.8" x14ac:dyDescent="0.3">
      <c r="C2845" s="381"/>
      <c r="D2845" s="381"/>
      <c r="E2845" s="381"/>
      <c r="F2845" s="381"/>
      <c r="G2845" s="382"/>
    </row>
    <row r="2846" spans="3:7" s="373" customFormat="1" ht="13.8" x14ac:dyDescent="0.3">
      <c r="C2846" s="381"/>
      <c r="D2846" s="381"/>
      <c r="E2846" s="381"/>
      <c r="F2846" s="381"/>
      <c r="G2846" s="382"/>
    </row>
    <row r="2847" spans="3:7" s="373" customFormat="1" ht="13.8" x14ac:dyDescent="0.3">
      <c r="C2847" s="381"/>
      <c r="D2847" s="381"/>
      <c r="E2847" s="381"/>
      <c r="F2847" s="381"/>
      <c r="G2847" s="382"/>
    </row>
    <row r="2848" spans="3:7" s="373" customFormat="1" ht="13.8" x14ac:dyDescent="0.3">
      <c r="C2848" s="381"/>
      <c r="D2848" s="381"/>
      <c r="E2848" s="381"/>
      <c r="F2848" s="381"/>
      <c r="G2848" s="382"/>
    </row>
    <row r="2849" spans="3:7" s="373" customFormat="1" ht="13.8" x14ac:dyDescent="0.3">
      <c r="C2849" s="381"/>
      <c r="D2849" s="381"/>
      <c r="E2849" s="381"/>
      <c r="F2849" s="381"/>
      <c r="G2849" s="382"/>
    </row>
    <row r="2850" spans="3:7" s="373" customFormat="1" ht="13.8" x14ac:dyDescent="0.3">
      <c r="C2850" s="381"/>
      <c r="D2850" s="381"/>
      <c r="E2850" s="381"/>
      <c r="F2850" s="381"/>
      <c r="G2850" s="382"/>
    </row>
    <row r="2851" spans="3:7" s="373" customFormat="1" ht="13.8" x14ac:dyDescent="0.3">
      <c r="C2851" s="381"/>
      <c r="D2851" s="381"/>
      <c r="E2851" s="381"/>
      <c r="F2851" s="381"/>
      <c r="G2851" s="382"/>
    </row>
    <row r="2852" spans="3:7" s="373" customFormat="1" ht="13.8" x14ac:dyDescent="0.3">
      <c r="C2852" s="381"/>
      <c r="D2852" s="381"/>
      <c r="E2852" s="381"/>
      <c r="F2852" s="381"/>
      <c r="G2852" s="382"/>
    </row>
    <row r="2853" spans="3:7" s="373" customFormat="1" ht="13.8" x14ac:dyDescent="0.3">
      <c r="C2853" s="381"/>
      <c r="D2853" s="381"/>
      <c r="E2853" s="381"/>
      <c r="F2853" s="381"/>
      <c r="G2853" s="382"/>
    </row>
    <row r="2854" spans="3:7" s="373" customFormat="1" ht="13.8" x14ac:dyDescent="0.3">
      <c r="C2854" s="381"/>
      <c r="D2854" s="381"/>
      <c r="E2854" s="381"/>
      <c r="F2854" s="381"/>
      <c r="G2854" s="382"/>
    </row>
    <row r="2855" spans="3:7" s="373" customFormat="1" ht="13.8" x14ac:dyDescent="0.3">
      <c r="C2855" s="381"/>
      <c r="D2855" s="381"/>
      <c r="E2855" s="381"/>
      <c r="F2855" s="381"/>
      <c r="G2855" s="382"/>
    </row>
    <row r="2856" spans="3:7" s="373" customFormat="1" ht="13.8" x14ac:dyDescent="0.3">
      <c r="C2856" s="381"/>
      <c r="D2856" s="381"/>
      <c r="E2856" s="381"/>
      <c r="F2856" s="381"/>
      <c r="G2856" s="382"/>
    </row>
    <row r="2857" spans="3:7" s="373" customFormat="1" ht="13.8" x14ac:dyDescent="0.3">
      <c r="C2857" s="381"/>
      <c r="D2857" s="381"/>
      <c r="E2857" s="381"/>
      <c r="F2857" s="381"/>
      <c r="G2857" s="382"/>
    </row>
    <row r="2858" spans="3:7" s="373" customFormat="1" ht="13.8" x14ac:dyDescent="0.3">
      <c r="C2858" s="381"/>
      <c r="D2858" s="381"/>
      <c r="E2858" s="381"/>
      <c r="F2858" s="381"/>
      <c r="G2858" s="382"/>
    </row>
    <row r="2859" spans="3:7" s="373" customFormat="1" ht="13.8" x14ac:dyDescent="0.3">
      <c r="C2859" s="381"/>
      <c r="D2859" s="381"/>
      <c r="E2859" s="381"/>
      <c r="F2859" s="381"/>
      <c r="G2859" s="382"/>
    </row>
    <row r="2860" spans="3:7" s="373" customFormat="1" ht="13.8" x14ac:dyDescent="0.3">
      <c r="C2860" s="381"/>
      <c r="D2860" s="381"/>
      <c r="E2860" s="381"/>
      <c r="F2860" s="381"/>
      <c r="G2860" s="382"/>
    </row>
    <row r="2861" spans="3:7" s="373" customFormat="1" ht="13.8" x14ac:dyDescent="0.3">
      <c r="C2861" s="381"/>
      <c r="D2861" s="381"/>
      <c r="E2861" s="381"/>
      <c r="F2861" s="381"/>
      <c r="G2861" s="382"/>
    </row>
    <row r="2862" spans="3:7" s="373" customFormat="1" ht="13.8" x14ac:dyDescent="0.3">
      <c r="C2862" s="381"/>
      <c r="D2862" s="381"/>
      <c r="E2862" s="381"/>
      <c r="F2862" s="381"/>
      <c r="G2862" s="382"/>
    </row>
    <row r="2863" spans="3:7" s="373" customFormat="1" ht="13.8" x14ac:dyDescent="0.3">
      <c r="C2863" s="381"/>
      <c r="D2863" s="381"/>
      <c r="E2863" s="381"/>
      <c r="F2863" s="381"/>
      <c r="G2863" s="382"/>
    </row>
    <row r="2864" spans="3:7" s="373" customFormat="1" ht="13.8" x14ac:dyDescent="0.3">
      <c r="C2864" s="381"/>
      <c r="D2864" s="381"/>
      <c r="E2864" s="381"/>
      <c r="F2864" s="381"/>
      <c r="G2864" s="382"/>
    </row>
    <row r="2865" spans="3:7" s="373" customFormat="1" ht="13.8" x14ac:dyDescent="0.3">
      <c r="C2865" s="381"/>
      <c r="D2865" s="381"/>
      <c r="E2865" s="381"/>
      <c r="F2865" s="381"/>
      <c r="G2865" s="382"/>
    </row>
    <row r="2866" spans="3:7" s="373" customFormat="1" ht="13.8" x14ac:dyDescent="0.3">
      <c r="C2866" s="381"/>
      <c r="D2866" s="381"/>
      <c r="E2866" s="381"/>
      <c r="F2866" s="381"/>
      <c r="G2866" s="382"/>
    </row>
    <row r="2867" spans="3:7" s="373" customFormat="1" ht="13.8" x14ac:dyDescent="0.3">
      <c r="C2867" s="381"/>
      <c r="D2867" s="381"/>
      <c r="E2867" s="381"/>
      <c r="F2867" s="381"/>
      <c r="G2867" s="382"/>
    </row>
    <row r="2868" spans="3:7" s="373" customFormat="1" ht="13.8" x14ac:dyDescent="0.3">
      <c r="C2868" s="381"/>
      <c r="D2868" s="381"/>
      <c r="E2868" s="381"/>
      <c r="F2868" s="381"/>
      <c r="G2868" s="382"/>
    </row>
    <row r="2869" spans="3:7" s="373" customFormat="1" ht="13.8" x14ac:dyDescent="0.3">
      <c r="C2869" s="381"/>
      <c r="D2869" s="381"/>
      <c r="E2869" s="381"/>
      <c r="F2869" s="381"/>
      <c r="G2869" s="382"/>
    </row>
    <row r="2870" spans="3:7" s="373" customFormat="1" ht="13.8" x14ac:dyDescent="0.3">
      <c r="C2870" s="381"/>
      <c r="D2870" s="381"/>
      <c r="E2870" s="381"/>
      <c r="F2870" s="381"/>
      <c r="G2870" s="382"/>
    </row>
    <row r="2871" spans="3:7" s="373" customFormat="1" ht="13.8" x14ac:dyDescent="0.3">
      <c r="C2871" s="381"/>
      <c r="D2871" s="381"/>
      <c r="E2871" s="381"/>
      <c r="F2871" s="381"/>
      <c r="G2871" s="382"/>
    </row>
    <row r="2872" spans="3:7" s="373" customFormat="1" ht="13.8" x14ac:dyDescent="0.3">
      <c r="C2872" s="381"/>
      <c r="D2872" s="381"/>
      <c r="E2872" s="381"/>
      <c r="F2872" s="381"/>
      <c r="G2872" s="382"/>
    </row>
    <row r="2873" spans="3:7" s="373" customFormat="1" ht="13.8" x14ac:dyDescent="0.3">
      <c r="C2873" s="381"/>
      <c r="D2873" s="381"/>
      <c r="E2873" s="381"/>
      <c r="F2873" s="381"/>
      <c r="G2873" s="382"/>
    </row>
    <row r="2874" spans="3:7" s="373" customFormat="1" ht="13.8" x14ac:dyDescent="0.3">
      <c r="C2874" s="381"/>
      <c r="D2874" s="381"/>
      <c r="E2874" s="381"/>
      <c r="F2874" s="381"/>
      <c r="G2874" s="382"/>
    </row>
    <row r="2875" spans="3:7" s="373" customFormat="1" ht="13.8" x14ac:dyDescent="0.3">
      <c r="C2875" s="381"/>
      <c r="D2875" s="381"/>
      <c r="E2875" s="381"/>
      <c r="F2875" s="381"/>
      <c r="G2875" s="382"/>
    </row>
    <row r="2876" spans="3:7" s="373" customFormat="1" ht="13.8" x14ac:dyDescent="0.3">
      <c r="C2876" s="381"/>
      <c r="D2876" s="381"/>
      <c r="E2876" s="381"/>
      <c r="F2876" s="381"/>
      <c r="G2876" s="382"/>
    </row>
    <row r="2877" spans="3:7" s="373" customFormat="1" ht="13.8" x14ac:dyDescent="0.3">
      <c r="C2877" s="381"/>
      <c r="D2877" s="381"/>
      <c r="E2877" s="381"/>
      <c r="F2877" s="381"/>
      <c r="G2877" s="382"/>
    </row>
    <row r="2878" spans="3:7" s="373" customFormat="1" ht="13.8" x14ac:dyDescent="0.3">
      <c r="C2878" s="381"/>
      <c r="D2878" s="381"/>
      <c r="E2878" s="381"/>
      <c r="F2878" s="381"/>
      <c r="G2878" s="382"/>
    </row>
    <row r="2879" spans="3:7" s="373" customFormat="1" ht="13.8" x14ac:dyDescent="0.3">
      <c r="C2879" s="381"/>
      <c r="D2879" s="381"/>
      <c r="E2879" s="381"/>
      <c r="F2879" s="381"/>
      <c r="G2879" s="382"/>
    </row>
    <row r="2880" spans="3:7" s="373" customFormat="1" ht="13.8" x14ac:dyDescent="0.3">
      <c r="C2880" s="381"/>
      <c r="D2880" s="381"/>
      <c r="E2880" s="381"/>
      <c r="F2880" s="381"/>
      <c r="G2880" s="382"/>
    </row>
    <row r="2881" spans="3:7" s="373" customFormat="1" ht="13.8" x14ac:dyDescent="0.3">
      <c r="C2881" s="381"/>
      <c r="D2881" s="381"/>
      <c r="E2881" s="381"/>
      <c r="F2881" s="381"/>
      <c r="G2881" s="382"/>
    </row>
    <row r="2882" spans="3:7" s="373" customFormat="1" ht="13.8" x14ac:dyDescent="0.3">
      <c r="C2882" s="381"/>
      <c r="D2882" s="381"/>
      <c r="E2882" s="381"/>
      <c r="F2882" s="381"/>
      <c r="G2882" s="382"/>
    </row>
    <row r="2883" spans="3:7" s="373" customFormat="1" ht="13.8" x14ac:dyDescent="0.3">
      <c r="C2883" s="381"/>
      <c r="D2883" s="381"/>
      <c r="E2883" s="381"/>
      <c r="F2883" s="381"/>
      <c r="G2883" s="382"/>
    </row>
    <row r="2884" spans="3:7" s="373" customFormat="1" ht="13.8" x14ac:dyDescent="0.3">
      <c r="C2884" s="381"/>
      <c r="D2884" s="381"/>
      <c r="E2884" s="381"/>
      <c r="F2884" s="381"/>
      <c r="G2884" s="382"/>
    </row>
    <row r="2885" spans="3:7" s="373" customFormat="1" ht="13.8" x14ac:dyDescent="0.3">
      <c r="C2885" s="381"/>
      <c r="D2885" s="381"/>
      <c r="E2885" s="381"/>
      <c r="F2885" s="381"/>
      <c r="G2885" s="382"/>
    </row>
    <row r="2886" spans="3:7" s="373" customFormat="1" ht="13.8" x14ac:dyDescent="0.3">
      <c r="C2886" s="381"/>
      <c r="D2886" s="381"/>
      <c r="E2886" s="381"/>
      <c r="F2886" s="381"/>
      <c r="G2886" s="382"/>
    </row>
    <row r="2887" spans="3:7" s="373" customFormat="1" ht="13.8" x14ac:dyDescent="0.3">
      <c r="C2887" s="381"/>
      <c r="D2887" s="381"/>
      <c r="E2887" s="381"/>
      <c r="F2887" s="381"/>
      <c r="G2887" s="382"/>
    </row>
    <row r="2888" spans="3:7" s="373" customFormat="1" ht="13.8" x14ac:dyDescent="0.3">
      <c r="C2888" s="381"/>
      <c r="D2888" s="381"/>
      <c r="E2888" s="381"/>
      <c r="F2888" s="381"/>
      <c r="G2888" s="382"/>
    </row>
    <row r="2889" spans="3:7" s="373" customFormat="1" ht="13.8" x14ac:dyDescent="0.3">
      <c r="C2889" s="381"/>
      <c r="D2889" s="381"/>
      <c r="E2889" s="381"/>
      <c r="F2889" s="381"/>
      <c r="G2889" s="382"/>
    </row>
    <row r="2890" spans="3:7" s="373" customFormat="1" ht="13.8" x14ac:dyDescent="0.3">
      <c r="C2890" s="381"/>
      <c r="D2890" s="381"/>
      <c r="E2890" s="381"/>
      <c r="F2890" s="381"/>
      <c r="G2890" s="382"/>
    </row>
    <row r="2891" spans="3:7" s="373" customFormat="1" ht="13.8" x14ac:dyDescent="0.3">
      <c r="C2891" s="381"/>
      <c r="D2891" s="381"/>
      <c r="E2891" s="381"/>
      <c r="F2891" s="381"/>
      <c r="G2891" s="382"/>
    </row>
    <row r="2892" spans="3:7" s="373" customFormat="1" ht="13.8" x14ac:dyDescent="0.3">
      <c r="C2892" s="381"/>
      <c r="D2892" s="381"/>
      <c r="E2892" s="381"/>
      <c r="F2892" s="381"/>
      <c r="G2892" s="382"/>
    </row>
    <row r="2893" spans="3:7" s="373" customFormat="1" ht="13.8" x14ac:dyDescent="0.3">
      <c r="C2893" s="381"/>
      <c r="D2893" s="381"/>
      <c r="E2893" s="381"/>
      <c r="F2893" s="381"/>
      <c r="G2893" s="382"/>
    </row>
    <row r="2894" spans="3:7" s="373" customFormat="1" ht="13.8" x14ac:dyDescent="0.3">
      <c r="C2894" s="381"/>
      <c r="D2894" s="381"/>
      <c r="E2894" s="381"/>
      <c r="F2894" s="381"/>
      <c r="G2894" s="382"/>
    </row>
    <row r="2895" spans="3:7" s="373" customFormat="1" ht="13.8" x14ac:dyDescent="0.3">
      <c r="C2895" s="381"/>
      <c r="D2895" s="381"/>
      <c r="E2895" s="381"/>
      <c r="F2895" s="381"/>
      <c r="G2895" s="382"/>
    </row>
    <row r="2896" spans="3:7" s="373" customFormat="1" ht="13.8" x14ac:dyDescent="0.3">
      <c r="C2896" s="381"/>
      <c r="D2896" s="381"/>
      <c r="E2896" s="381"/>
      <c r="F2896" s="381"/>
      <c r="G2896" s="382"/>
    </row>
    <row r="2897" spans="3:7" s="373" customFormat="1" ht="13.8" x14ac:dyDescent="0.3">
      <c r="C2897" s="381"/>
      <c r="D2897" s="381"/>
      <c r="E2897" s="381"/>
      <c r="F2897" s="381"/>
      <c r="G2897" s="382"/>
    </row>
    <row r="2898" spans="3:7" s="373" customFormat="1" ht="13.8" x14ac:dyDescent="0.3">
      <c r="C2898" s="381"/>
      <c r="D2898" s="381"/>
      <c r="E2898" s="381"/>
      <c r="F2898" s="381"/>
      <c r="G2898" s="382"/>
    </row>
    <row r="2899" spans="3:7" s="373" customFormat="1" ht="13.8" x14ac:dyDescent="0.3">
      <c r="C2899" s="381"/>
      <c r="D2899" s="381"/>
      <c r="E2899" s="381"/>
      <c r="F2899" s="381"/>
      <c r="G2899" s="382"/>
    </row>
    <row r="2900" spans="3:7" s="373" customFormat="1" ht="13.8" x14ac:dyDescent="0.3">
      <c r="C2900" s="381"/>
      <c r="D2900" s="381"/>
      <c r="E2900" s="381"/>
      <c r="F2900" s="381"/>
      <c r="G2900" s="382"/>
    </row>
    <row r="2901" spans="3:7" s="373" customFormat="1" ht="13.8" x14ac:dyDescent="0.3">
      <c r="C2901" s="381"/>
      <c r="D2901" s="381"/>
      <c r="E2901" s="381"/>
      <c r="F2901" s="381"/>
      <c r="G2901" s="382"/>
    </row>
    <row r="2902" spans="3:7" s="373" customFormat="1" ht="13.8" x14ac:dyDescent="0.3">
      <c r="C2902" s="381"/>
      <c r="D2902" s="381"/>
      <c r="E2902" s="381"/>
      <c r="F2902" s="381"/>
      <c r="G2902" s="382"/>
    </row>
    <row r="2903" spans="3:7" s="373" customFormat="1" ht="13.8" x14ac:dyDescent="0.3">
      <c r="C2903" s="381"/>
      <c r="D2903" s="381"/>
      <c r="E2903" s="381"/>
      <c r="F2903" s="381"/>
      <c r="G2903" s="382"/>
    </row>
    <row r="2904" spans="3:7" s="373" customFormat="1" ht="13.8" x14ac:dyDescent="0.3">
      <c r="C2904" s="381"/>
      <c r="D2904" s="381"/>
      <c r="E2904" s="381"/>
      <c r="F2904" s="381"/>
      <c r="G2904" s="382"/>
    </row>
    <row r="2905" spans="3:7" s="373" customFormat="1" ht="13.8" x14ac:dyDescent="0.3">
      <c r="C2905" s="381"/>
      <c r="D2905" s="381"/>
      <c r="E2905" s="381"/>
      <c r="F2905" s="381"/>
      <c r="G2905" s="382"/>
    </row>
    <row r="2906" spans="3:7" s="373" customFormat="1" ht="13.8" x14ac:dyDescent="0.3">
      <c r="C2906" s="381"/>
      <c r="D2906" s="381"/>
      <c r="E2906" s="381"/>
      <c r="F2906" s="381"/>
      <c r="G2906" s="382"/>
    </row>
    <row r="2907" spans="3:7" s="373" customFormat="1" ht="13.8" x14ac:dyDescent="0.3">
      <c r="C2907" s="381"/>
      <c r="D2907" s="381"/>
      <c r="E2907" s="381"/>
      <c r="F2907" s="381"/>
      <c r="G2907" s="382"/>
    </row>
    <row r="2908" spans="3:7" s="373" customFormat="1" ht="13.8" x14ac:dyDescent="0.3">
      <c r="C2908" s="381"/>
      <c r="D2908" s="381"/>
      <c r="E2908" s="381"/>
      <c r="F2908" s="381"/>
      <c r="G2908" s="382"/>
    </row>
    <row r="2909" spans="3:7" s="373" customFormat="1" ht="13.8" x14ac:dyDescent="0.3">
      <c r="C2909" s="381"/>
      <c r="D2909" s="381"/>
      <c r="E2909" s="381"/>
      <c r="F2909" s="381"/>
      <c r="G2909" s="382"/>
    </row>
    <row r="2910" spans="3:7" s="373" customFormat="1" ht="13.8" x14ac:dyDescent="0.3">
      <c r="C2910" s="381"/>
      <c r="D2910" s="381"/>
      <c r="E2910" s="381"/>
      <c r="F2910" s="381"/>
      <c r="G2910" s="382"/>
    </row>
    <row r="2911" spans="3:7" s="373" customFormat="1" ht="13.8" x14ac:dyDescent="0.3">
      <c r="C2911" s="381"/>
      <c r="D2911" s="381"/>
      <c r="E2911" s="381"/>
      <c r="F2911" s="381"/>
      <c r="G2911" s="382"/>
    </row>
    <row r="2912" spans="3:7" s="373" customFormat="1" ht="13.8" x14ac:dyDescent="0.3">
      <c r="C2912" s="381"/>
      <c r="D2912" s="381"/>
      <c r="E2912" s="381"/>
      <c r="F2912" s="381"/>
      <c r="G2912" s="382"/>
    </row>
    <row r="2913" spans="3:7" s="373" customFormat="1" ht="13.8" x14ac:dyDescent="0.3">
      <c r="C2913" s="381"/>
      <c r="D2913" s="381"/>
      <c r="E2913" s="381"/>
      <c r="F2913" s="381"/>
      <c r="G2913" s="382"/>
    </row>
    <row r="2914" spans="3:7" s="373" customFormat="1" ht="13.8" x14ac:dyDescent="0.3">
      <c r="C2914" s="381"/>
      <c r="D2914" s="381"/>
      <c r="E2914" s="381"/>
      <c r="F2914" s="381"/>
      <c r="G2914" s="382"/>
    </row>
    <row r="2915" spans="3:7" s="373" customFormat="1" ht="13.8" x14ac:dyDescent="0.3">
      <c r="C2915" s="381"/>
      <c r="D2915" s="381"/>
      <c r="E2915" s="381"/>
      <c r="F2915" s="381"/>
      <c r="G2915" s="382"/>
    </row>
    <row r="2916" spans="3:7" s="373" customFormat="1" ht="13.8" x14ac:dyDescent="0.3">
      <c r="C2916" s="381"/>
      <c r="D2916" s="381"/>
      <c r="E2916" s="381"/>
      <c r="F2916" s="381"/>
      <c r="G2916" s="382"/>
    </row>
    <row r="2917" spans="3:7" s="373" customFormat="1" ht="13.8" x14ac:dyDescent="0.3">
      <c r="C2917" s="381"/>
      <c r="D2917" s="381"/>
      <c r="E2917" s="381"/>
      <c r="F2917" s="381"/>
      <c r="G2917" s="382"/>
    </row>
    <row r="2918" spans="3:7" s="373" customFormat="1" ht="13.8" x14ac:dyDescent="0.3">
      <c r="C2918" s="381"/>
      <c r="D2918" s="381"/>
      <c r="E2918" s="381"/>
      <c r="F2918" s="381"/>
      <c r="G2918" s="382"/>
    </row>
    <row r="2919" spans="3:7" s="373" customFormat="1" ht="13.8" x14ac:dyDescent="0.3">
      <c r="C2919" s="381"/>
      <c r="D2919" s="381"/>
      <c r="E2919" s="381"/>
      <c r="F2919" s="381"/>
      <c r="G2919" s="382"/>
    </row>
    <row r="2920" spans="3:7" s="373" customFormat="1" ht="13.8" x14ac:dyDescent="0.3">
      <c r="C2920" s="381"/>
      <c r="D2920" s="381"/>
      <c r="E2920" s="381"/>
      <c r="F2920" s="381"/>
      <c r="G2920" s="382"/>
    </row>
    <row r="2921" spans="3:7" s="373" customFormat="1" ht="13.8" x14ac:dyDescent="0.3">
      <c r="C2921" s="381"/>
      <c r="D2921" s="381"/>
      <c r="E2921" s="381"/>
      <c r="F2921" s="381"/>
      <c r="G2921" s="382"/>
    </row>
    <row r="2922" spans="3:7" s="373" customFormat="1" ht="13.8" x14ac:dyDescent="0.3">
      <c r="C2922" s="381"/>
      <c r="D2922" s="381"/>
      <c r="E2922" s="381"/>
      <c r="F2922" s="381"/>
      <c r="G2922" s="382"/>
    </row>
    <row r="2923" spans="3:7" s="373" customFormat="1" ht="13.8" x14ac:dyDescent="0.3">
      <c r="C2923" s="381"/>
      <c r="D2923" s="381"/>
      <c r="E2923" s="381"/>
      <c r="F2923" s="381"/>
      <c r="G2923" s="382"/>
    </row>
    <row r="2924" spans="3:7" s="373" customFormat="1" ht="13.8" x14ac:dyDescent="0.3">
      <c r="C2924" s="381"/>
      <c r="D2924" s="381"/>
      <c r="E2924" s="381"/>
      <c r="F2924" s="381"/>
      <c r="G2924" s="382"/>
    </row>
    <row r="2925" spans="3:7" s="373" customFormat="1" ht="13.8" x14ac:dyDescent="0.3">
      <c r="C2925" s="381"/>
      <c r="D2925" s="381"/>
      <c r="E2925" s="381"/>
      <c r="F2925" s="381"/>
      <c r="G2925" s="382"/>
    </row>
    <row r="2926" spans="3:7" s="373" customFormat="1" ht="13.8" x14ac:dyDescent="0.3">
      <c r="C2926" s="381"/>
      <c r="D2926" s="381"/>
      <c r="E2926" s="381"/>
      <c r="F2926" s="381"/>
      <c r="G2926" s="382"/>
    </row>
    <row r="2927" spans="3:7" s="373" customFormat="1" ht="13.8" x14ac:dyDescent="0.3">
      <c r="C2927" s="381"/>
      <c r="D2927" s="381"/>
      <c r="E2927" s="381"/>
      <c r="F2927" s="381"/>
      <c r="G2927" s="382"/>
    </row>
    <row r="2928" spans="3:7" s="373" customFormat="1" ht="13.8" x14ac:dyDescent="0.3">
      <c r="C2928" s="381"/>
      <c r="D2928" s="381"/>
      <c r="E2928" s="381"/>
      <c r="F2928" s="381"/>
      <c r="G2928" s="382"/>
    </row>
    <row r="2929" spans="3:7" s="373" customFormat="1" ht="13.8" x14ac:dyDescent="0.3">
      <c r="C2929" s="381"/>
      <c r="D2929" s="381"/>
      <c r="E2929" s="381"/>
      <c r="F2929" s="381"/>
      <c r="G2929" s="382"/>
    </row>
    <row r="2930" spans="3:7" s="373" customFormat="1" ht="13.8" x14ac:dyDescent="0.3">
      <c r="C2930" s="381"/>
      <c r="D2930" s="381"/>
      <c r="E2930" s="381"/>
      <c r="F2930" s="381"/>
      <c r="G2930" s="382"/>
    </row>
    <row r="2931" spans="3:7" s="373" customFormat="1" ht="13.8" x14ac:dyDescent="0.3">
      <c r="C2931" s="381"/>
      <c r="D2931" s="381"/>
      <c r="E2931" s="381"/>
      <c r="F2931" s="381"/>
      <c r="G2931" s="382"/>
    </row>
    <row r="2932" spans="3:7" s="373" customFormat="1" ht="13.8" x14ac:dyDescent="0.3">
      <c r="C2932" s="381"/>
      <c r="D2932" s="381"/>
      <c r="E2932" s="381"/>
      <c r="F2932" s="381"/>
      <c r="G2932" s="382"/>
    </row>
    <row r="2933" spans="3:7" s="373" customFormat="1" ht="13.8" x14ac:dyDescent="0.3">
      <c r="C2933" s="381"/>
      <c r="D2933" s="381"/>
      <c r="E2933" s="381"/>
      <c r="F2933" s="381"/>
      <c r="G2933" s="382"/>
    </row>
    <row r="2934" spans="3:7" s="373" customFormat="1" ht="13.8" x14ac:dyDescent="0.3">
      <c r="C2934" s="381"/>
      <c r="D2934" s="381"/>
      <c r="E2934" s="381"/>
      <c r="F2934" s="381"/>
      <c r="G2934" s="382"/>
    </row>
    <row r="2935" spans="3:7" s="373" customFormat="1" ht="13.8" x14ac:dyDescent="0.3">
      <c r="C2935" s="381"/>
      <c r="D2935" s="381"/>
      <c r="E2935" s="381"/>
      <c r="F2935" s="381"/>
      <c r="G2935" s="382"/>
    </row>
    <row r="2936" spans="3:7" s="373" customFormat="1" ht="13.8" x14ac:dyDescent="0.3">
      <c r="C2936" s="381"/>
      <c r="D2936" s="381"/>
      <c r="E2936" s="381"/>
      <c r="F2936" s="381"/>
      <c r="G2936" s="382"/>
    </row>
    <row r="2937" spans="3:7" s="373" customFormat="1" ht="13.8" x14ac:dyDescent="0.3">
      <c r="C2937" s="381"/>
      <c r="D2937" s="381"/>
      <c r="E2937" s="381"/>
      <c r="F2937" s="381"/>
      <c r="G2937" s="382"/>
    </row>
    <row r="2938" spans="3:7" s="373" customFormat="1" ht="13.8" x14ac:dyDescent="0.3">
      <c r="C2938" s="381"/>
      <c r="D2938" s="381"/>
      <c r="E2938" s="381"/>
      <c r="F2938" s="381"/>
      <c r="G2938" s="382"/>
    </row>
    <row r="2939" spans="3:7" s="373" customFormat="1" ht="13.8" x14ac:dyDescent="0.3">
      <c r="C2939" s="381"/>
      <c r="D2939" s="381"/>
      <c r="E2939" s="381"/>
      <c r="F2939" s="381"/>
      <c r="G2939" s="382"/>
    </row>
    <row r="2940" spans="3:7" s="373" customFormat="1" ht="13.8" x14ac:dyDescent="0.3">
      <c r="C2940" s="381"/>
      <c r="D2940" s="381"/>
      <c r="E2940" s="381"/>
      <c r="F2940" s="381"/>
      <c r="G2940" s="382"/>
    </row>
    <row r="2941" spans="3:7" s="373" customFormat="1" ht="13.8" x14ac:dyDescent="0.3">
      <c r="C2941" s="381"/>
      <c r="D2941" s="381"/>
      <c r="E2941" s="381"/>
      <c r="F2941" s="381"/>
      <c r="G2941" s="382"/>
    </row>
    <row r="2942" spans="3:7" s="373" customFormat="1" ht="13.8" x14ac:dyDescent="0.3">
      <c r="C2942" s="381"/>
      <c r="D2942" s="381"/>
      <c r="E2942" s="381"/>
      <c r="F2942" s="381"/>
      <c r="G2942" s="382"/>
    </row>
    <row r="2943" spans="3:7" s="373" customFormat="1" ht="13.8" x14ac:dyDescent="0.3">
      <c r="C2943" s="381"/>
      <c r="D2943" s="381"/>
      <c r="E2943" s="381"/>
      <c r="F2943" s="381"/>
      <c r="G2943" s="382"/>
    </row>
    <row r="2944" spans="3:7" s="373" customFormat="1" ht="13.8" x14ac:dyDescent="0.3">
      <c r="C2944" s="381"/>
      <c r="D2944" s="381"/>
      <c r="E2944" s="381"/>
      <c r="F2944" s="381"/>
      <c r="G2944" s="382"/>
    </row>
    <row r="2945" spans="3:7" s="373" customFormat="1" ht="13.8" x14ac:dyDescent="0.3">
      <c r="C2945" s="381"/>
      <c r="D2945" s="381"/>
      <c r="E2945" s="381"/>
      <c r="F2945" s="381"/>
      <c r="G2945" s="382"/>
    </row>
    <row r="2946" spans="3:7" s="373" customFormat="1" ht="13.8" x14ac:dyDescent="0.3">
      <c r="C2946" s="381"/>
      <c r="D2946" s="381"/>
      <c r="E2946" s="381"/>
      <c r="F2946" s="381"/>
      <c r="G2946" s="382"/>
    </row>
    <row r="2947" spans="3:7" s="373" customFormat="1" ht="13.8" x14ac:dyDescent="0.3">
      <c r="C2947" s="381"/>
      <c r="D2947" s="381"/>
      <c r="E2947" s="381"/>
      <c r="F2947" s="381"/>
      <c r="G2947" s="382"/>
    </row>
    <row r="2948" spans="3:7" s="373" customFormat="1" ht="13.8" x14ac:dyDescent="0.3">
      <c r="C2948" s="381"/>
      <c r="D2948" s="381"/>
      <c r="E2948" s="381"/>
      <c r="F2948" s="381"/>
      <c r="G2948" s="382"/>
    </row>
    <row r="2949" spans="3:7" s="373" customFormat="1" ht="13.8" x14ac:dyDescent="0.3">
      <c r="C2949" s="381"/>
      <c r="D2949" s="381"/>
      <c r="E2949" s="381"/>
      <c r="F2949" s="381"/>
      <c r="G2949" s="382"/>
    </row>
    <row r="2950" spans="3:7" s="373" customFormat="1" ht="13.8" x14ac:dyDescent="0.3">
      <c r="C2950" s="381"/>
      <c r="D2950" s="381"/>
      <c r="E2950" s="381"/>
      <c r="F2950" s="381"/>
      <c r="G2950" s="382"/>
    </row>
    <row r="2951" spans="3:7" s="373" customFormat="1" ht="13.8" x14ac:dyDescent="0.3">
      <c r="C2951" s="381"/>
      <c r="D2951" s="381"/>
      <c r="E2951" s="381"/>
      <c r="F2951" s="381"/>
      <c r="G2951" s="382"/>
    </row>
    <row r="2952" spans="3:7" s="373" customFormat="1" ht="13.8" x14ac:dyDescent="0.3">
      <c r="C2952" s="381"/>
      <c r="D2952" s="381"/>
      <c r="E2952" s="381"/>
      <c r="F2952" s="381"/>
      <c r="G2952" s="382"/>
    </row>
    <row r="2953" spans="3:7" s="373" customFormat="1" ht="13.8" x14ac:dyDescent="0.3">
      <c r="C2953" s="381"/>
      <c r="D2953" s="381"/>
      <c r="E2953" s="381"/>
      <c r="F2953" s="381"/>
      <c r="G2953" s="382"/>
    </row>
    <row r="2954" spans="3:7" s="373" customFormat="1" ht="13.8" x14ac:dyDescent="0.3">
      <c r="C2954" s="381"/>
      <c r="D2954" s="381"/>
      <c r="E2954" s="381"/>
      <c r="F2954" s="381"/>
      <c r="G2954" s="382"/>
    </row>
    <row r="2955" spans="3:7" s="373" customFormat="1" ht="13.8" x14ac:dyDescent="0.3">
      <c r="C2955" s="381"/>
      <c r="D2955" s="381"/>
      <c r="E2955" s="381"/>
      <c r="F2955" s="381"/>
      <c r="G2955" s="382"/>
    </row>
    <row r="2956" spans="3:7" s="373" customFormat="1" ht="13.8" x14ac:dyDescent="0.3">
      <c r="C2956" s="381"/>
      <c r="D2956" s="381"/>
      <c r="E2956" s="381"/>
      <c r="F2956" s="381"/>
      <c r="G2956" s="382"/>
    </row>
    <row r="2957" spans="3:7" s="373" customFormat="1" ht="13.8" x14ac:dyDescent="0.3">
      <c r="C2957" s="381"/>
      <c r="D2957" s="381"/>
      <c r="E2957" s="381"/>
      <c r="F2957" s="381"/>
      <c r="G2957" s="382"/>
    </row>
    <row r="2958" spans="3:7" s="373" customFormat="1" ht="13.8" x14ac:dyDescent="0.3">
      <c r="C2958" s="381"/>
      <c r="D2958" s="381"/>
      <c r="E2958" s="381"/>
      <c r="F2958" s="381"/>
      <c r="G2958" s="382"/>
    </row>
    <row r="2959" spans="3:7" s="373" customFormat="1" ht="13.8" x14ac:dyDescent="0.3">
      <c r="C2959" s="381"/>
      <c r="D2959" s="381"/>
      <c r="E2959" s="381"/>
      <c r="F2959" s="381"/>
      <c r="G2959" s="382"/>
    </row>
    <row r="2960" spans="3:7" s="373" customFormat="1" ht="13.8" x14ac:dyDescent="0.3">
      <c r="C2960" s="381"/>
      <c r="D2960" s="381"/>
      <c r="E2960" s="381"/>
      <c r="F2960" s="381"/>
      <c r="G2960" s="382"/>
    </row>
    <row r="2961" spans="3:7" s="373" customFormat="1" ht="13.8" x14ac:dyDescent="0.3">
      <c r="C2961" s="381"/>
      <c r="D2961" s="381"/>
      <c r="E2961" s="381"/>
      <c r="F2961" s="381"/>
      <c r="G2961" s="382"/>
    </row>
    <row r="2962" spans="3:7" s="373" customFormat="1" ht="13.8" x14ac:dyDescent="0.3">
      <c r="C2962" s="381"/>
      <c r="D2962" s="381"/>
      <c r="E2962" s="381"/>
      <c r="F2962" s="381"/>
      <c r="G2962" s="382"/>
    </row>
    <row r="2963" spans="3:7" s="373" customFormat="1" ht="13.8" x14ac:dyDescent="0.3">
      <c r="C2963" s="381"/>
      <c r="D2963" s="381"/>
      <c r="E2963" s="381"/>
      <c r="F2963" s="381"/>
      <c r="G2963" s="382"/>
    </row>
    <row r="2964" spans="3:7" s="373" customFormat="1" ht="13.8" x14ac:dyDescent="0.3">
      <c r="C2964" s="381"/>
      <c r="D2964" s="381"/>
      <c r="E2964" s="381"/>
      <c r="F2964" s="381"/>
      <c r="G2964" s="382"/>
    </row>
    <row r="2965" spans="3:7" s="373" customFormat="1" ht="13.8" x14ac:dyDescent="0.3">
      <c r="C2965" s="381"/>
      <c r="D2965" s="381"/>
      <c r="E2965" s="381"/>
      <c r="F2965" s="381"/>
      <c r="G2965" s="382"/>
    </row>
    <row r="2966" spans="3:7" s="373" customFormat="1" ht="13.8" x14ac:dyDescent="0.3">
      <c r="C2966" s="381"/>
      <c r="D2966" s="381"/>
      <c r="E2966" s="381"/>
      <c r="F2966" s="381"/>
      <c r="G2966" s="382"/>
    </row>
    <row r="2967" spans="3:7" s="373" customFormat="1" ht="13.8" x14ac:dyDescent="0.3">
      <c r="C2967" s="381"/>
      <c r="D2967" s="381"/>
      <c r="E2967" s="381"/>
      <c r="F2967" s="381"/>
      <c r="G2967" s="382"/>
    </row>
    <row r="2968" spans="3:7" s="373" customFormat="1" ht="13.8" x14ac:dyDescent="0.3">
      <c r="C2968" s="381"/>
      <c r="D2968" s="381"/>
      <c r="E2968" s="381"/>
      <c r="F2968" s="381"/>
      <c r="G2968" s="382"/>
    </row>
    <row r="2969" spans="3:7" s="373" customFormat="1" ht="13.8" x14ac:dyDescent="0.3">
      <c r="C2969" s="381"/>
      <c r="D2969" s="381"/>
      <c r="E2969" s="381"/>
      <c r="F2969" s="381"/>
      <c r="G2969" s="382"/>
    </row>
    <row r="2970" spans="3:7" s="373" customFormat="1" ht="13.8" x14ac:dyDescent="0.3">
      <c r="C2970" s="381"/>
      <c r="D2970" s="381"/>
      <c r="E2970" s="381"/>
      <c r="F2970" s="381"/>
      <c r="G2970" s="382"/>
    </row>
    <row r="2971" spans="3:7" s="373" customFormat="1" ht="13.8" x14ac:dyDescent="0.3">
      <c r="C2971" s="381"/>
      <c r="D2971" s="381"/>
      <c r="E2971" s="381"/>
      <c r="F2971" s="381"/>
      <c r="G2971" s="382"/>
    </row>
    <row r="2972" spans="3:7" s="373" customFormat="1" ht="13.8" x14ac:dyDescent="0.3">
      <c r="C2972" s="381"/>
      <c r="D2972" s="381"/>
      <c r="E2972" s="381"/>
      <c r="F2972" s="381"/>
      <c r="G2972" s="382"/>
    </row>
    <row r="2973" spans="3:7" s="373" customFormat="1" ht="13.8" x14ac:dyDescent="0.3">
      <c r="C2973" s="381"/>
      <c r="D2973" s="381"/>
      <c r="E2973" s="381"/>
      <c r="F2973" s="381"/>
      <c r="G2973" s="382"/>
    </row>
    <row r="2974" spans="3:7" s="373" customFormat="1" ht="13.8" x14ac:dyDescent="0.3">
      <c r="C2974" s="381"/>
      <c r="D2974" s="381"/>
      <c r="E2974" s="381"/>
      <c r="F2974" s="381"/>
      <c r="G2974" s="382"/>
    </row>
    <row r="2975" spans="3:7" s="373" customFormat="1" ht="13.8" x14ac:dyDescent="0.3">
      <c r="C2975" s="381"/>
      <c r="D2975" s="381"/>
      <c r="E2975" s="381"/>
      <c r="F2975" s="381"/>
      <c r="G2975" s="382"/>
    </row>
    <row r="2976" spans="3:7" s="373" customFormat="1" ht="13.8" x14ac:dyDescent="0.3">
      <c r="C2976" s="381"/>
      <c r="D2976" s="381"/>
      <c r="E2976" s="381"/>
      <c r="F2976" s="381"/>
      <c r="G2976" s="382"/>
    </row>
    <row r="2977" spans="3:7" s="373" customFormat="1" ht="13.8" x14ac:dyDescent="0.3">
      <c r="C2977" s="381"/>
      <c r="D2977" s="381"/>
      <c r="E2977" s="381"/>
      <c r="F2977" s="381"/>
      <c r="G2977" s="382"/>
    </row>
    <row r="2978" spans="3:7" s="373" customFormat="1" ht="13.8" x14ac:dyDescent="0.3">
      <c r="C2978" s="381"/>
      <c r="D2978" s="381"/>
      <c r="E2978" s="381"/>
      <c r="F2978" s="381"/>
      <c r="G2978" s="382"/>
    </row>
    <row r="2979" spans="3:7" s="373" customFormat="1" ht="13.8" x14ac:dyDescent="0.3">
      <c r="C2979" s="381"/>
      <c r="D2979" s="381"/>
      <c r="E2979" s="381"/>
      <c r="F2979" s="381"/>
      <c r="G2979" s="382"/>
    </row>
    <row r="2980" spans="3:7" s="373" customFormat="1" ht="13.8" x14ac:dyDescent="0.3">
      <c r="C2980" s="381"/>
      <c r="D2980" s="381"/>
      <c r="E2980" s="381"/>
      <c r="F2980" s="381"/>
      <c r="G2980" s="382"/>
    </row>
    <row r="2981" spans="3:7" s="373" customFormat="1" ht="13.8" x14ac:dyDescent="0.3">
      <c r="C2981" s="381"/>
      <c r="D2981" s="381"/>
      <c r="E2981" s="381"/>
      <c r="F2981" s="381"/>
      <c r="G2981" s="382"/>
    </row>
    <row r="2982" spans="3:7" s="373" customFormat="1" ht="13.8" x14ac:dyDescent="0.3">
      <c r="C2982" s="381"/>
      <c r="D2982" s="381"/>
      <c r="E2982" s="381"/>
      <c r="F2982" s="381"/>
      <c r="G2982" s="382"/>
    </row>
    <row r="2983" spans="3:7" s="373" customFormat="1" ht="13.8" x14ac:dyDescent="0.3">
      <c r="C2983" s="381"/>
      <c r="D2983" s="381"/>
      <c r="E2983" s="381"/>
      <c r="F2983" s="381"/>
      <c r="G2983" s="382"/>
    </row>
    <row r="2984" spans="3:7" s="373" customFormat="1" ht="13.8" x14ac:dyDescent="0.3">
      <c r="C2984" s="381"/>
      <c r="D2984" s="381"/>
      <c r="E2984" s="381"/>
      <c r="F2984" s="381"/>
      <c r="G2984" s="382"/>
    </row>
    <row r="2985" spans="3:7" s="373" customFormat="1" ht="13.8" x14ac:dyDescent="0.3">
      <c r="C2985" s="381"/>
      <c r="D2985" s="381"/>
      <c r="E2985" s="381"/>
      <c r="F2985" s="381"/>
      <c r="G2985" s="382"/>
    </row>
    <row r="2986" spans="3:7" s="373" customFormat="1" ht="13.8" x14ac:dyDescent="0.3">
      <c r="C2986" s="381"/>
      <c r="D2986" s="381"/>
      <c r="E2986" s="381"/>
      <c r="F2986" s="381"/>
      <c r="G2986" s="382"/>
    </row>
    <row r="2987" spans="3:7" s="373" customFormat="1" ht="13.8" x14ac:dyDescent="0.3">
      <c r="C2987" s="381"/>
      <c r="D2987" s="381"/>
      <c r="E2987" s="381"/>
      <c r="F2987" s="381"/>
      <c r="G2987" s="382"/>
    </row>
    <row r="2988" spans="3:7" s="373" customFormat="1" ht="13.8" x14ac:dyDescent="0.3">
      <c r="C2988" s="381"/>
      <c r="D2988" s="381"/>
      <c r="E2988" s="381"/>
      <c r="F2988" s="381"/>
      <c r="G2988" s="382"/>
    </row>
    <row r="2989" spans="3:7" s="373" customFormat="1" ht="13.8" x14ac:dyDescent="0.3">
      <c r="C2989" s="381"/>
      <c r="D2989" s="381"/>
      <c r="E2989" s="381"/>
      <c r="F2989" s="381"/>
      <c r="G2989" s="382"/>
    </row>
    <row r="2990" spans="3:7" s="373" customFormat="1" ht="13.8" x14ac:dyDescent="0.3">
      <c r="C2990" s="381"/>
      <c r="D2990" s="381"/>
      <c r="E2990" s="381"/>
      <c r="F2990" s="381"/>
      <c r="G2990" s="382"/>
    </row>
    <row r="2991" spans="3:7" s="373" customFormat="1" ht="13.8" x14ac:dyDescent="0.3">
      <c r="C2991" s="381"/>
      <c r="D2991" s="381"/>
      <c r="E2991" s="381"/>
      <c r="F2991" s="381"/>
      <c r="G2991" s="382"/>
    </row>
    <row r="2992" spans="3:7" s="373" customFormat="1" ht="13.8" x14ac:dyDescent="0.3">
      <c r="C2992" s="381"/>
      <c r="D2992" s="381"/>
      <c r="E2992" s="381"/>
      <c r="F2992" s="381"/>
      <c r="G2992" s="382"/>
    </row>
    <row r="2993" spans="3:7" s="373" customFormat="1" ht="13.8" x14ac:dyDescent="0.3">
      <c r="C2993" s="381"/>
      <c r="D2993" s="381"/>
      <c r="E2993" s="381"/>
      <c r="F2993" s="381"/>
      <c r="G2993" s="382"/>
    </row>
    <row r="2994" spans="3:7" s="373" customFormat="1" ht="13.8" x14ac:dyDescent="0.3">
      <c r="C2994" s="381"/>
      <c r="D2994" s="381"/>
      <c r="E2994" s="381"/>
      <c r="F2994" s="381"/>
      <c r="G2994" s="382"/>
    </row>
    <row r="2995" spans="3:7" s="373" customFormat="1" ht="13.8" x14ac:dyDescent="0.3">
      <c r="C2995" s="381"/>
      <c r="D2995" s="381"/>
      <c r="E2995" s="381"/>
      <c r="F2995" s="381"/>
      <c r="G2995" s="382"/>
    </row>
    <row r="2996" spans="3:7" s="373" customFormat="1" ht="13.8" x14ac:dyDescent="0.3">
      <c r="C2996" s="381"/>
      <c r="D2996" s="381"/>
      <c r="E2996" s="381"/>
      <c r="F2996" s="381"/>
      <c r="G2996" s="382"/>
    </row>
    <row r="2997" spans="3:7" s="373" customFormat="1" ht="13.8" x14ac:dyDescent="0.3">
      <c r="C2997" s="381"/>
      <c r="D2997" s="381"/>
      <c r="E2997" s="381"/>
      <c r="F2997" s="381"/>
      <c r="G2997" s="382"/>
    </row>
    <row r="2998" spans="3:7" s="373" customFormat="1" ht="13.8" x14ac:dyDescent="0.3">
      <c r="C2998" s="381"/>
      <c r="D2998" s="381"/>
      <c r="E2998" s="381"/>
      <c r="F2998" s="381"/>
      <c r="G2998" s="382"/>
    </row>
    <row r="2999" spans="3:7" s="373" customFormat="1" ht="13.8" x14ac:dyDescent="0.3">
      <c r="C2999" s="381"/>
      <c r="D2999" s="381"/>
      <c r="E2999" s="381"/>
      <c r="F2999" s="381"/>
      <c r="G2999" s="382"/>
    </row>
    <row r="3000" spans="3:7" s="373" customFormat="1" ht="13.8" x14ac:dyDescent="0.3">
      <c r="C3000" s="381"/>
      <c r="D3000" s="381"/>
      <c r="E3000" s="381"/>
      <c r="F3000" s="381"/>
      <c r="G3000" s="382"/>
    </row>
    <row r="3001" spans="3:7" s="373" customFormat="1" ht="13.8" x14ac:dyDescent="0.3">
      <c r="C3001" s="381"/>
      <c r="D3001" s="381"/>
      <c r="E3001" s="381"/>
      <c r="F3001" s="381"/>
      <c r="G3001" s="382"/>
    </row>
    <row r="3002" spans="3:7" s="373" customFormat="1" ht="13.8" x14ac:dyDescent="0.3">
      <c r="C3002" s="381"/>
      <c r="D3002" s="381"/>
      <c r="E3002" s="381"/>
      <c r="F3002" s="381"/>
      <c r="G3002" s="382"/>
    </row>
    <row r="3003" spans="3:7" s="373" customFormat="1" ht="13.8" x14ac:dyDescent="0.3">
      <c r="C3003" s="381"/>
      <c r="D3003" s="381"/>
      <c r="E3003" s="381"/>
      <c r="F3003" s="381"/>
      <c r="G3003" s="382"/>
    </row>
    <row r="3004" spans="3:7" s="373" customFormat="1" ht="13.8" x14ac:dyDescent="0.3">
      <c r="C3004" s="381"/>
      <c r="D3004" s="381"/>
      <c r="E3004" s="381"/>
      <c r="F3004" s="381"/>
      <c r="G3004" s="382"/>
    </row>
    <row r="3005" spans="3:7" s="373" customFormat="1" ht="13.8" x14ac:dyDescent="0.3">
      <c r="C3005" s="381"/>
      <c r="D3005" s="381"/>
      <c r="E3005" s="381"/>
      <c r="F3005" s="381"/>
      <c r="G3005" s="382"/>
    </row>
    <row r="3006" spans="3:7" s="373" customFormat="1" ht="13.8" x14ac:dyDescent="0.3">
      <c r="C3006" s="381"/>
      <c r="D3006" s="381"/>
      <c r="E3006" s="381"/>
      <c r="F3006" s="381"/>
      <c r="G3006" s="382"/>
    </row>
    <row r="3007" spans="3:7" s="373" customFormat="1" ht="13.8" x14ac:dyDescent="0.3">
      <c r="C3007" s="381"/>
      <c r="D3007" s="381"/>
      <c r="E3007" s="381"/>
      <c r="F3007" s="381"/>
      <c r="G3007" s="382"/>
    </row>
    <row r="3008" spans="3:7" s="373" customFormat="1" ht="13.8" x14ac:dyDescent="0.3">
      <c r="C3008" s="381"/>
      <c r="D3008" s="381"/>
      <c r="E3008" s="381"/>
      <c r="F3008" s="381"/>
      <c r="G3008" s="382"/>
    </row>
    <row r="3009" spans="3:7" s="373" customFormat="1" ht="13.8" x14ac:dyDescent="0.3">
      <c r="C3009" s="381"/>
      <c r="D3009" s="381"/>
      <c r="E3009" s="381"/>
      <c r="F3009" s="381"/>
      <c r="G3009" s="382"/>
    </row>
    <row r="3010" spans="3:7" s="373" customFormat="1" ht="13.8" x14ac:dyDescent="0.3">
      <c r="C3010" s="381"/>
      <c r="D3010" s="381"/>
      <c r="E3010" s="381"/>
      <c r="F3010" s="381"/>
      <c r="G3010" s="382"/>
    </row>
    <row r="3011" spans="3:7" s="373" customFormat="1" ht="13.8" x14ac:dyDescent="0.3">
      <c r="C3011" s="381"/>
      <c r="D3011" s="381"/>
      <c r="E3011" s="381"/>
      <c r="F3011" s="381"/>
      <c r="G3011" s="382"/>
    </row>
    <row r="3012" spans="3:7" s="373" customFormat="1" ht="13.8" x14ac:dyDescent="0.3">
      <c r="C3012" s="381"/>
      <c r="D3012" s="381"/>
      <c r="E3012" s="381"/>
      <c r="F3012" s="381"/>
      <c r="G3012" s="382"/>
    </row>
    <row r="3013" spans="3:7" s="373" customFormat="1" ht="13.8" x14ac:dyDescent="0.3">
      <c r="C3013" s="381"/>
      <c r="D3013" s="381"/>
      <c r="E3013" s="381"/>
      <c r="F3013" s="381"/>
      <c r="G3013" s="382"/>
    </row>
    <row r="3014" spans="3:7" s="373" customFormat="1" ht="13.8" x14ac:dyDescent="0.3">
      <c r="C3014" s="381"/>
      <c r="D3014" s="381"/>
      <c r="E3014" s="381"/>
      <c r="F3014" s="381"/>
      <c r="G3014" s="382"/>
    </row>
    <row r="3015" spans="3:7" s="373" customFormat="1" ht="13.8" x14ac:dyDescent="0.3">
      <c r="C3015" s="381"/>
      <c r="D3015" s="381"/>
      <c r="E3015" s="381"/>
      <c r="F3015" s="381"/>
      <c r="G3015" s="382"/>
    </row>
    <row r="3016" spans="3:7" s="373" customFormat="1" ht="13.8" x14ac:dyDescent="0.3">
      <c r="C3016" s="381"/>
      <c r="D3016" s="381"/>
      <c r="E3016" s="381"/>
      <c r="F3016" s="381"/>
      <c r="G3016" s="382"/>
    </row>
    <row r="3017" spans="3:7" s="373" customFormat="1" ht="13.8" x14ac:dyDescent="0.3">
      <c r="C3017" s="381"/>
      <c r="D3017" s="381"/>
      <c r="E3017" s="381"/>
      <c r="F3017" s="381"/>
      <c r="G3017" s="382"/>
    </row>
    <row r="3018" spans="3:7" s="373" customFormat="1" ht="13.8" x14ac:dyDescent="0.3">
      <c r="C3018" s="381"/>
      <c r="D3018" s="381"/>
      <c r="E3018" s="381"/>
      <c r="F3018" s="381"/>
      <c r="G3018" s="382"/>
    </row>
    <row r="3019" spans="3:7" s="373" customFormat="1" ht="13.8" x14ac:dyDescent="0.3">
      <c r="C3019" s="381"/>
      <c r="D3019" s="381"/>
      <c r="E3019" s="381"/>
      <c r="F3019" s="381"/>
      <c r="G3019" s="382"/>
    </row>
    <row r="3020" spans="3:7" s="373" customFormat="1" ht="13.8" x14ac:dyDescent="0.3">
      <c r="C3020" s="381"/>
      <c r="D3020" s="381"/>
      <c r="E3020" s="381"/>
      <c r="F3020" s="381"/>
      <c r="G3020" s="382"/>
    </row>
    <row r="3021" spans="3:7" s="373" customFormat="1" ht="13.8" x14ac:dyDescent="0.3">
      <c r="C3021" s="381"/>
      <c r="D3021" s="381"/>
      <c r="E3021" s="381"/>
      <c r="F3021" s="381"/>
      <c r="G3021" s="382"/>
    </row>
    <row r="3022" spans="3:7" s="373" customFormat="1" ht="13.8" x14ac:dyDescent="0.3">
      <c r="C3022" s="381"/>
      <c r="D3022" s="381"/>
      <c r="E3022" s="381"/>
      <c r="F3022" s="381"/>
      <c r="G3022" s="382"/>
    </row>
    <row r="3023" spans="3:7" s="373" customFormat="1" ht="13.8" x14ac:dyDescent="0.3">
      <c r="C3023" s="381"/>
      <c r="D3023" s="381"/>
      <c r="E3023" s="381"/>
      <c r="F3023" s="381"/>
      <c r="G3023" s="382"/>
    </row>
    <row r="3024" spans="3:7" s="373" customFormat="1" ht="13.8" x14ac:dyDescent="0.3">
      <c r="C3024" s="381"/>
      <c r="D3024" s="381"/>
      <c r="E3024" s="381"/>
      <c r="F3024" s="381"/>
      <c r="G3024" s="382"/>
    </row>
    <row r="3025" spans="3:7" s="373" customFormat="1" ht="13.8" x14ac:dyDescent="0.3">
      <c r="C3025" s="381"/>
      <c r="D3025" s="381"/>
      <c r="E3025" s="381"/>
      <c r="F3025" s="381"/>
      <c r="G3025" s="382"/>
    </row>
    <row r="3026" spans="3:7" s="373" customFormat="1" ht="13.8" x14ac:dyDescent="0.3">
      <c r="C3026" s="381"/>
      <c r="D3026" s="381"/>
      <c r="E3026" s="381"/>
      <c r="F3026" s="381"/>
      <c r="G3026" s="382"/>
    </row>
    <row r="3027" spans="3:7" s="373" customFormat="1" ht="13.8" x14ac:dyDescent="0.3">
      <c r="C3027" s="381"/>
      <c r="D3027" s="381"/>
      <c r="E3027" s="381"/>
      <c r="F3027" s="381"/>
      <c r="G3027" s="382"/>
    </row>
    <row r="3028" spans="3:7" s="373" customFormat="1" ht="13.8" x14ac:dyDescent="0.3">
      <c r="C3028" s="381"/>
      <c r="D3028" s="381"/>
      <c r="E3028" s="381"/>
      <c r="F3028" s="381"/>
      <c r="G3028" s="382"/>
    </row>
    <row r="3029" spans="3:7" s="373" customFormat="1" ht="13.8" x14ac:dyDescent="0.3">
      <c r="C3029" s="381"/>
      <c r="D3029" s="381"/>
      <c r="E3029" s="381"/>
      <c r="F3029" s="381"/>
      <c r="G3029" s="382"/>
    </row>
    <row r="3030" spans="3:7" s="373" customFormat="1" ht="13.8" x14ac:dyDescent="0.3">
      <c r="C3030" s="381"/>
      <c r="D3030" s="381"/>
      <c r="E3030" s="381"/>
      <c r="F3030" s="381"/>
      <c r="G3030" s="382"/>
    </row>
    <row r="3031" spans="3:7" s="373" customFormat="1" ht="13.8" x14ac:dyDescent="0.3">
      <c r="C3031" s="381"/>
      <c r="D3031" s="381"/>
      <c r="E3031" s="381"/>
      <c r="F3031" s="381"/>
      <c r="G3031" s="382"/>
    </row>
    <row r="3032" spans="3:7" s="373" customFormat="1" ht="13.8" x14ac:dyDescent="0.3">
      <c r="C3032" s="381"/>
      <c r="D3032" s="381"/>
      <c r="E3032" s="381"/>
      <c r="F3032" s="381"/>
      <c r="G3032" s="382"/>
    </row>
    <row r="3033" spans="3:7" s="373" customFormat="1" ht="13.8" x14ac:dyDescent="0.3">
      <c r="C3033" s="381"/>
      <c r="D3033" s="381"/>
      <c r="E3033" s="381"/>
      <c r="F3033" s="381"/>
      <c r="G3033" s="382"/>
    </row>
    <row r="3034" spans="3:7" s="373" customFormat="1" ht="13.8" x14ac:dyDescent="0.3">
      <c r="C3034" s="381"/>
      <c r="D3034" s="381"/>
      <c r="E3034" s="381"/>
      <c r="F3034" s="381"/>
      <c r="G3034" s="382"/>
    </row>
    <row r="3035" spans="3:7" s="373" customFormat="1" ht="13.8" x14ac:dyDescent="0.3">
      <c r="C3035" s="381"/>
      <c r="D3035" s="381"/>
      <c r="E3035" s="381"/>
      <c r="F3035" s="381"/>
      <c r="G3035" s="382"/>
    </row>
    <row r="3036" spans="3:7" s="373" customFormat="1" ht="13.8" x14ac:dyDescent="0.3">
      <c r="C3036" s="381"/>
      <c r="D3036" s="381"/>
      <c r="E3036" s="381"/>
      <c r="F3036" s="381"/>
      <c r="G3036" s="382"/>
    </row>
    <row r="3037" spans="3:7" s="373" customFormat="1" ht="13.8" x14ac:dyDescent="0.3">
      <c r="C3037" s="381"/>
      <c r="D3037" s="381"/>
      <c r="E3037" s="381"/>
      <c r="F3037" s="381"/>
      <c r="G3037" s="382"/>
    </row>
    <row r="3038" spans="3:7" s="373" customFormat="1" ht="13.8" x14ac:dyDescent="0.3">
      <c r="C3038" s="381"/>
      <c r="D3038" s="381"/>
      <c r="E3038" s="381"/>
      <c r="F3038" s="381"/>
      <c r="G3038" s="382"/>
    </row>
    <row r="3039" spans="3:7" s="373" customFormat="1" ht="13.8" x14ac:dyDescent="0.3">
      <c r="C3039" s="381"/>
      <c r="D3039" s="381"/>
      <c r="E3039" s="381"/>
      <c r="F3039" s="381"/>
      <c r="G3039" s="382"/>
    </row>
    <row r="3040" spans="3:7" s="373" customFormat="1" ht="13.8" x14ac:dyDescent="0.3">
      <c r="C3040" s="381"/>
      <c r="D3040" s="381"/>
      <c r="E3040" s="381"/>
      <c r="F3040" s="381"/>
      <c r="G3040" s="382"/>
    </row>
    <row r="3041" spans="3:7" s="373" customFormat="1" ht="13.8" x14ac:dyDescent="0.3">
      <c r="C3041" s="381"/>
      <c r="D3041" s="381"/>
      <c r="E3041" s="381"/>
      <c r="F3041" s="381"/>
      <c r="G3041" s="382"/>
    </row>
    <row r="3042" spans="3:7" x14ac:dyDescent="0.3">
      <c r="G3042" s="383"/>
    </row>
  </sheetData>
  <mergeCells count="1">
    <mergeCell ref="A2:R2"/>
  </mergeCells>
  <pageMargins left="0.70866141732283472" right="0.70866141732283472" top="0.74803149606299213" bottom="0.74803149606299213" header="0.31496062992125984" footer="0.31496062992125984"/>
  <pageSetup paperSize="9" scale="46" fitToHeight="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8A80-EE15-4C88-B6D8-3BE3221EB34C}">
  <dimension ref="A1:V632"/>
  <sheetViews>
    <sheetView view="pageBreakPreview" topLeftCell="B73" zoomScale="115" zoomScaleNormal="85" zoomScaleSheetLayoutView="115" workbookViewId="0">
      <selection activeCell="C611" sqref="C611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2" s="17" customFormat="1" ht="6" thickBot="1" x14ac:dyDescent="0.35">
      <c r="D1" s="18"/>
      <c r="E1" s="19"/>
      <c r="F1" s="19"/>
      <c r="G1" s="20"/>
      <c r="H1" s="20"/>
      <c r="I1" s="20"/>
      <c r="J1" s="21"/>
      <c r="K1" s="22"/>
      <c r="L1" s="22"/>
      <c r="M1" s="20"/>
      <c r="N1" s="20"/>
      <c r="P1" s="23"/>
      <c r="S1" s="24"/>
      <c r="T1" s="25"/>
      <c r="U1" s="25"/>
      <c r="V1" s="25"/>
    </row>
    <row r="2" spans="1:22" ht="23.25" customHeight="1" thickBot="1" x14ac:dyDescent="0.35">
      <c r="C2" s="417" t="s">
        <v>1123</v>
      </c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9"/>
      <c r="S2" s="15"/>
      <c r="T2" s="16"/>
      <c r="U2" s="16"/>
      <c r="V2" s="16"/>
    </row>
    <row r="3" spans="1:22" s="17" customFormat="1" ht="6" thickBot="1" x14ac:dyDescent="0.35">
      <c r="C3" s="23"/>
      <c r="D3" s="26"/>
      <c r="E3" s="19"/>
      <c r="F3" s="19"/>
      <c r="G3" s="27"/>
      <c r="H3" s="27"/>
      <c r="I3" s="27"/>
      <c r="J3" s="19"/>
      <c r="K3" s="28"/>
      <c r="L3" s="28"/>
      <c r="M3" s="27"/>
      <c r="N3" s="27"/>
      <c r="O3" s="19"/>
      <c r="P3" s="29"/>
      <c r="S3" s="24"/>
      <c r="T3" s="25"/>
      <c r="U3" s="25"/>
      <c r="V3" s="25"/>
    </row>
    <row r="4" spans="1:22" s="17" customFormat="1" ht="5.4" x14ac:dyDescent="0.3">
      <c r="C4" s="30"/>
      <c r="D4" s="31"/>
      <c r="E4" s="32"/>
      <c r="F4" s="32"/>
      <c r="G4" s="33"/>
      <c r="H4" s="33"/>
      <c r="I4" s="33"/>
      <c r="J4" s="34"/>
      <c r="K4" s="35"/>
      <c r="L4" s="35"/>
      <c r="M4" s="33"/>
      <c r="N4" s="33"/>
      <c r="O4" s="36"/>
      <c r="P4" s="37"/>
      <c r="S4" s="24"/>
      <c r="T4" s="25"/>
      <c r="U4" s="25"/>
      <c r="V4" s="25"/>
    </row>
    <row r="5" spans="1:22" ht="12.75" customHeight="1" x14ac:dyDescent="0.3">
      <c r="C5" s="38" t="s">
        <v>2</v>
      </c>
      <c r="D5" s="420" t="s">
        <v>3</v>
      </c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1"/>
      <c r="S5" s="15"/>
      <c r="T5" s="16"/>
      <c r="U5" s="16"/>
      <c r="V5" s="16"/>
    </row>
    <row r="6" spans="1:22" ht="14.25" customHeight="1" x14ac:dyDescent="0.3">
      <c r="C6" s="38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</row>
    <row r="7" spans="1:22" x14ac:dyDescent="0.3">
      <c r="C7" s="38" t="s">
        <v>4</v>
      </c>
      <c r="D7" s="39" t="s">
        <v>5</v>
      </c>
      <c r="E7" s="40"/>
      <c r="F7" s="40"/>
      <c r="G7" s="41"/>
      <c r="H7" s="41"/>
      <c r="I7" s="42"/>
      <c r="J7" s="40"/>
      <c r="K7" s="43"/>
      <c r="L7" s="41" t="s">
        <v>6</v>
      </c>
      <c r="M7" s="44" t="s">
        <v>7</v>
      </c>
      <c r="N7" s="42"/>
      <c r="O7" s="39"/>
      <c r="P7" s="45"/>
    </row>
    <row r="8" spans="1:22" x14ac:dyDescent="0.3">
      <c r="C8" s="38" t="s">
        <v>8</v>
      </c>
      <c r="D8" s="46">
        <v>44608</v>
      </c>
      <c r="E8" s="47"/>
      <c r="F8" s="47"/>
      <c r="G8" s="41"/>
      <c r="H8" s="41"/>
      <c r="I8" s="48"/>
      <c r="J8" s="49"/>
      <c r="K8" s="48"/>
      <c r="L8" s="41" t="s">
        <v>9</v>
      </c>
      <c r="M8" s="44"/>
      <c r="N8" s="50"/>
      <c r="O8" s="51"/>
      <c r="P8" s="45"/>
    </row>
    <row r="9" spans="1:22" x14ac:dyDescent="0.3">
      <c r="C9" s="38" t="s">
        <v>10</v>
      </c>
      <c r="D9" s="52" t="s">
        <v>11</v>
      </c>
      <c r="E9" s="40"/>
      <c r="F9" s="40"/>
      <c r="G9" s="43"/>
      <c r="H9" s="43"/>
      <c r="I9" s="43"/>
      <c r="J9" s="40"/>
      <c r="K9" s="43"/>
      <c r="L9" s="50"/>
      <c r="M9" s="50"/>
      <c r="N9" s="50"/>
      <c r="O9" s="51"/>
      <c r="P9" s="45"/>
    </row>
    <row r="10" spans="1:22" x14ac:dyDescent="0.3">
      <c r="C10" s="38" t="s">
        <v>12</v>
      </c>
      <c r="D10" s="39" t="s">
        <v>1124</v>
      </c>
      <c r="E10" s="40"/>
      <c r="F10" s="40"/>
      <c r="G10" s="43"/>
      <c r="H10" s="43"/>
      <c r="I10" s="43"/>
      <c r="J10" s="40"/>
      <c r="K10" s="43"/>
      <c r="L10" s="50"/>
      <c r="M10" s="50"/>
      <c r="N10" s="53"/>
      <c r="O10" s="47"/>
      <c r="P10" s="45"/>
    </row>
    <row r="11" spans="1:22" s="17" customFormat="1" ht="6" thickBot="1" x14ac:dyDescent="0.35">
      <c r="C11" s="54"/>
      <c r="D11" s="55"/>
      <c r="E11" s="56"/>
      <c r="F11" s="56"/>
      <c r="G11" s="57"/>
      <c r="H11" s="58"/>
      <c r="I11" s="59"/>
      <c r="J11" s="60"/>
      <c r="K11" s="61"/>
      <c r="L11" s="61"/>
      <c r="M11" s="59"/>
      <c r="N11" s="59"/>
      <c r="O11" s="62"/>
      <c r="P11" s="63"/>
    </row>
    <row r="12" spans="1:22" s="17" customFormat="1" ht="6" thickBot="1" x14ac:dyDescent="0.35">
      <c r="C12" s="23"/>
      <c r="D12" s="26"/>
      <c r="E12" s="19"/>
      <c r="F12" s="19"/>
      <c r="G12" s="20"/>
      <c r="H12" s="20"/>
      <c r="I12" s="20"/>
      <c r="J12" s="18"/>
      <c r="K12" s="64"/>
      <c r="L12" s="64"/>
      <c r="M12" s="20"/>
      <c r="N12" s="20"/>
      <c r="P12" s="29"/>
    </row>
    <row r="13" spans="1:22" ht="15" customHeight="1" x14ac:dyDescent="0.3">
      <c r="C13" s="422" t="s">
        <v>13</v>
      </c>
      <c r="D13" s="424" t="s">
        <v>14</v>
      </c>
      <c r="E13" s="426" t="s">
        <v>15</v>
      </c>
      <c r="F13" s="428" t="s">
        <v>16</v>
      </c>
      <c r="G13" s="430" t="s">
        <v>17</v>
      </c>
      <c r="H13" s="430"/>
      <c r="I13" s="430"/>
      <c r="J13" s="428" t="s">
        <v>18</v>
      </c>
      <c r="K13" s="424" t="s">
        <v>19</v>
      </c>
      <c r="L13" s="424"/>
      <c r="M13" s="424"/>
      <c r="N13" s="424"/>
      <c r="O13" s="424"/>
      <c r="P13" s="431" t="s">
        <v>20</v>
      </c>
    </row>
    <row r="14" spans="1:22" ht="14.25" customHeight="1" thickBot="1" x14ac:dyDescent="0.25">
      <c r="A14" s="65" t="s">
        <v>21</v>
      </c>
      <c r="C14" s="423"/>
      <c r="D14" s="425"/>
      <c r="E14" s="427"/>
      <c r="F14" s="429"/>
      <c r="G14" s="66" t="s">
        <v>22</v>
      </c>
      <c r="H14" s="66" t="s">
        <v>23</v>
      </c>
      <c r="I14" s="66" t="s">
        <v>24</v>
      </c>
      <c r="J14" s="429"/>
      <c r="K14" s="66" t="s">
        <v>25</v>
      </c>
      <c r="L14" s="66" t="s">
        <v>26</v>
      </c>
      <c r="M14" s="66" t="s">
        <v>27</v>
      </c>
      <c r="N14" s="66" t="s">
        <v>28</v>
      </c>
      <c r="O14" s="126" t="s">
        <v>29</v>
      </c>
      <c r="P14" s="432"/>
    </row>
    <row r="15" spans="1:22" s="17" customFormat="1" ht="10.199999999999999" customHeight="1" x14ac:dyDescent="0.3">
      <c r="C15" s="68"/>
      <c r="D15" s="69"/>
      <c r="E15" s="70"/>
      <c r="F15" s="70"/>
      <c r="G15" s="71"/>
      <c r="H15" s="71"/>
      <c r="I15" s="71"/>
      <c r="J15" s="72"/>
      <c r="K15" s="73"/>
      <c r="L15" s="73"/>
      <c r="M15" s="71"/>
      <c r="N15" s="71"/>
      <c r="O15" s="72"/>
      <c r="P15" s="74"/>
    </row>
    <row r="16" spans="1:22" s="83" customFormat="1" ht="13.2" x14ac:dyDescent="0.3">
      <c r="A16" s="75"/>
      <c r="B16" s="76"/>
      <c r="C16" s="77"/>
      <c r="D16" s="78" t="s">
        <v>925</v>
      </c>
      <c r="E16" s="79"/>
      <c r="F16" s="80"/>
      <c r="G16" s="81"/>
      <c r="H16" s="81"/>
      <c r="I16" s="81"/>
      <c r="J16" s="80"/>
      <c r="K16" s="82"/>
      <c r="L16" s="82"/>
      <c r="M16" s="82"/>
      <c r="N16" s="82"/>
      <c r="O16" s="82"/>
      <c r="P16" s="82"/>
    </row>
    <row r="17" spans="1:16" s="162" customFormat="1" x14ac:dyDescent="0.2">
      <c r="A17" s="153">
        <v>1</v>
      </c>
      <c r="B17" s="154"/>
      <c r="C17" s="155" t="s">
        <v>1186</v>
      </c>
      <c r="D17" s="156" t="s">
        <v>11</v>
      </c>
      <c r="E17" s="157"/>
      <c r="F17" s="158"/>
      <c r="G17" s="159"/>
      <c r="H17" s="159"/>
      <c r="I17" s="159"/>
      <c r="J17" s="160"/>
      <c r="K17" s="161"/>
      <c r="L17" s="161"/>
      <c r="M17" s="161"/>
      <c r="N17" s="161"/>
      <c r="O17" s="161"/>
      <c r="P17" s="161"/>
    </row>
    <row r="18" spans="1:16" s="169" customFormat="1" x14ac:dyDescent="0.2">
      <c r="A18" s="163">
        <v>2</v>
      </c>
      <c r="B18" s="164"/>
      <c r="C18" s="165" t="s">
        <v>1179</v>
      </c>
      <c r="D18" s="166" t="s">
        <v>89</v>
      </c>
      <c r="E18" s="167"/>
      <c r="F18" s="158"/>
      <c r="G18" s="159"/>
      <c r="H18" s="159"/>
      <c r="I18" s="159"/>
      <c r="J18" s="160"/>
      <c r="K18" s="168"/>
      <c r="L18" s="168"/>
      <c r="M18" s="168"/>
      <c r="N18" s="168"/>
      <c r="O18" s="168"/>
      <c r="P18" s="168"/>
    </row>
    <row r="19" spans="1:16" s="170" customFormat="1" x14ac:dyDescent="0.3">
      <c r="A19" s="170">
        <v>3</v>
      </c>
      <c r="C19" s="99" t="s">
        <v>1180</v>
      </c>
      <c r="D19" s="100" t="s">
        <v>522</v>
      </c>
      <c r="E19" s="132" t="s">
        <v>0</v>
      </c>
      <c r="F19" s="136"/>
      <c r="G19" s="2"/>
      <c r="H19" s="2"/>
      <c r="I19" s="2"/>
      <c r="J19" s="102"/>
      <c r="K19" s="103"/>
      <c r="L19" s="103"/>
      <c r="M19" s="103"/>
      <c r="N19" s="103"/>
      <c r="O19" s="103"/>
      <c r="P19" s="103">
        <f>SUM(L21:L83)</f>
        <v>596.92650000000003</v>
      </c>
    </row>
    <row r="20" spans="1:16" x14ac:dyDescent="0.3">
      <c r="C20" s="106"/>
      <c r="D20" s="140" t="s">
        <v>33</v>
      </c>
      <c r="E20" s="138"/>
      <c r="F20" s="139"/>
      <c r="G20" s="2"/>
      <c r="H20" s="2"/>
      <c r="I20" s="2"/>
      <c r="J20" s="119"/>
      <c r="K20" s="113"/>
      <c r="L20" s="113"/>
      <c r="M20" s="113"/>
      <c r="N20" s="113"/>
      <c r="O20" s="113"/>
      <c r="P20" s="113"/>
    </row>
    <row r="21" spans="1:16" x14ac:dyDescent="0.3">
      <c r="C21" s="106"/>
      <c r="D21" s="137" t="s">
        <v>160</v>
      </c>
      <c r="E21" s="138"/>
      <c r="F21" s="139"/>
      <c r="G21" s="2"/>
      <c r="H21" s="2"/>
      <c r="I21" s="2"/>
      <c r="J21" s="119"/>
      <c r="K21" s="113"/>
      <c r="L21" s="113"/>
      <c r="M21" s="113"/>
      <c r="N21" s="113"/>
      <c r="O21" s="113"/>
      <c r="P21" s="113"/>
    </row>
    <row r="22" spans="1:16" x14ac:dyDescent="0.3">
      <c r="C22" s="114"/>
      <c r="D22" s="238" t="s">
        <v>854</v>
      </c>
      <c r="E22" s="239" t="s">
        <v>0</v>
      </c>
      <c r="F22" s="240">
        <v>1</v>
      </c>
      <c r="G22" s="241">
        <v>3.65</v>
      </c>
      <c r="H22" s="241"/>
      <c r="I22" s="241">
        <v>2.1</v>
      </c>
      <c r="J22" s="242">
        <v>1</v>
      </c>
      <c r="K22" s="237"/>
      <c r="L22" s="237">
        <f t="shared" ref="L22:L31" si="0">PRODUCT(F22:J22)</f>
        <v>7.665</v>
      </c>
      <c r="M22" s="111"/>
      <c r="N22" s="111"/>
      <c r="O22" s="111"/>
      <c r="P22" s="111"/>
    </row>
    <row r="23" spans="1:16" x14ac:dyDescent="0.3">
      <c r="C23" s="114"/>
      <c r="D23" s="238" t="s">
        <v>855</v>
      </c>
      <c r="E23" s="239" t="s">
        <v>0</v>
      </c>
      <c r="F23" s="240">
        <v>1</v>
      </c>
      <c r="G23" s="241">
        <v>1.1499999999999999</v>
      </c>
      <c r="H23" s="241"/>
      <c r="I23" s="241">
        <v>2.1</v>
      </c>
      <c r="J23" s="242">
        <v>1</v>
      </c>
      <c r="K23" s="237"/>
      <c r="L23" s="237">
        <f t="shared" si="0"/>
        <v>2.415</v>
      </c>
      <c r="M23" s="111"/>
      <c r="N23" s="111"/>
      <c r="O23" s="111"/>
      <c r="P23" s="111"/>
    </row>
    <row r="24" spans="1:16" x14ac:dyDescent="0.3">
      <c r="C24" s="114"/>
      <c r="D24" s="238" t="s">
        <v>856</v>
      </c>
      <c r="E24" s="239" t="s">
        <v>0</v>
      </c>
      <c r="F24" s="240">
        <v>1</v>
      </c>
      <c r="G24" s="241">
        <v>3.65</v>
      </c>
      <c r="H24" s="241"/>
      <c r="I24" s="241">
        <v>2.1</v>
      </c>
      <c r="J24" s="242">
        <v>1</v>
      </c>
      <c r="K24" s="237"/>
      <c r="L24" s="237">
        <f t="shared" si="0"/>
        <v>7.665</v>
      </c>
      <c r="M24" s="111"/>
      <c r="N24" s="111"/>
      <c r="O24" s="111"/>
      <c r="P24" s="111"/>
    </row>
    <row r="25" spans="1:16" x14ac:dyDescent="0.3">
      <c r="C25" s="114"/>
      <c r="D25" s="238" t="s">
        <v>857</v>
      </c>
      <c r="E25" s="239" t="s">
        <v>0</v>
      </c>
      <c r="F25" s="240">
        <v>1</v>
      </c>
      <c r="G25" s="241">
        <v>1.1499999999999999</v>
      </c>
      <c r="H25" s="241"/>
      <c r="I25" s="241">
        <v>2.1</v>
      </c>
      <c r="J25" s="242">
        <v>1</v>
      </c>
      <c r="K25" s="237"/>
      <c r="L25" s="237">
        <f t="shared" si="0"/>
        <v>2.415</v>
      </c>
      <c r="M25" s="111"/>
      <c r="N25" s="111"/>
      <c r="O25" s="111"/>
      <c r="P25" s="111"/>
    </row>
    <row r="26" spans="1:16" x14ac:dyDescent="0.3">
      <c r="C26" s="114"/>
      <c r="D26" s="238" t="s">
        <v>858</v>
      </c>
      <c r="E26" s="239" t="s">
        <v>0</v>
      </c>
      <c r="F26" s="240">
        <v>1</v>
      </c>
      <c r="G26" s="241">
        <v>3.65</v>
      </c>
      <c r="H26" s="241"/>
      <c r="I26" s="241">
        <v>2.1</v>
      </c>
      <c r="J26" s="242">
        <v>1</v>
      </c>
      <c r="K26" s="237"/>
      <c r="L26" s="237">
        <f t="shared" si="0"/>
        <v>7.665</v>
      </c>
      <c r="M26" s="111"/>
      <c r="N26" s="111"/>
      <c r="O26" s="111"/>
      <c r="P26" s="111"/>
    </row>
    <row r="27" spans="1:16" x14ac:dyDescent="0.3">
      <c r="C27" s="114"/>
      <c r="D27" s="238" t="s">
        <v>859</v>
      </c>
      <c r="E27" s="239" t="s">
        <v>0</v>
      </c>
      <c r="F27" s="240">
        <v>1</v>
      </c>
      <c r="G27" s="241">
        <v>1.1499999999999999</v>
      </c>
      <c r="H27" s="241"/>
      <c r="I27" s="241">
        <v>2.1</v>
      </c>
      <c r="J27" s="242">
        <v>1</v>
      </c>
      <c r="K27" s="237"/>
      <c r="L27" s="237">
        <f t="shared" si="0"/>
        <v>2.415</v>
      </c>
      <c r="M27" s="111"/>
      <c r="N27" s="111"/>
      <c r="O27" s="111"/>
      <c r="P27" s="111"/>
    </row>
    <row r="28" spans="1:16" x14ac:dyDescent="0.3">
      <c r="C28" s="114"/>
      <c r="D28" s="238" t="s">
        <v>860</v>
      </c>
      <c r="E28" s="239" t="s">
        <v>0</v>
      </c>
      <c r="F28" s="240">
        <v>1</v>
      </c>
      <c r="G28" s="241">
        <v>3.3</v>
      </c>
      <c r="H28" s="241"/>
      <c r="I28" s="241">
        <v>2.85</v>
      </c>
      <c r="J28" s="242">
        <v>1</v>
      </c>
      <c r="K28" s="237"/>
      <c r="L28" s="237">
        <f t="shared" si="0"/>
        <v>9.4049999999999994</v>
      </c>
      <c r="M28" s="111"/>
      <c r="N28" s="111"/>
      <c r="O28" s="111"/>
      <c r="P28" s="111"/>
    </row>
    <row r="29" spans="1:16" x14ac:dyDescent="0.3">
      <c r="C29" s="114"/>
      <c r="D29" s="238" t="s">
        <v>861</v>
      </c>
      <c r="E29" s="239" t="s">
        <v>0</v>
      </c>
      <c r="F29" s="240">
        <v>1</v>
      </c>
      <c r="G29" s="241">
        <v>3.3</v>
      </c>
      <c r="H29" s="241"/>
      <c r="I29" s="241">
        <v>2.85</v>
      </c>
      <c r="J29" s="242">
        <v>2</v>
      </c>
      <c r="K29" s="237"/>
      <c r="L29" s="237">
        <f t="shared" si="0"/>
        <v>18.809999999999999</v>
      </c>
      <c r="M29" s="111"/>
      <c r="N29" s="111"/>
      <c r="O29" s="111"/>
      <c r="P29" s="111"/>
    </row>
    <row r="30" spans="1:16" x14ac:dyDescent="0.3">
      <c r="C30" s="114"/>
      <c r="D30" s="238" t="s">
        <v>862</v>
      </c>
      <c r="E30" s="239" t="s">
        <v>0</v>
      </c>
      <c r="F30" s="240">
        <v>1</v>
      </c>
      <c r="G30" s="241">
        <v>3.3</v>
      </c>
      <c r="H30" s="241"/>
      <c r="I30" s="241">
        <v>2.85</v>
      </c>
      <c r="J30" s="242">
        <v>2</v>
      </c>
      <c r="K30" s="237"/>
      <c r="L30" s="237">
        <f t="shared" si="0"/>
        <v>18.809999999999999</v>
      </c>
      <c r="M30" s="111"/>
      <c r="N30" s="111"/>
      <c r="O30" s="111"/>
      <c r="P30" s="111"/>
    </row>
    <row r="31" spans="1:16" x14ac:dyDescent="0.3">
      <c r="C31" s="114"/>
      <c r="D31" s="238" t="s">
        <v>863</v>
      </c>
      <c r="E31" s="239" t="s">
        <v>0</v>
      </c>
      <c r="F31" s="240">
        <v>1</v>
      </c>
      <c r="G31" s="241">
        <v>3.3</v>
      </c>
      <c r="H31" s="241"/>
      <c r="I31" s="241">
        <v>2.85</v>
      </c>
      <c r="J31" s="242">
        <v>1</v>
      </c>
      <c r="K31" s="237"/>
      <c r="L31" s="237">
        <f t="shared" si="0"/>
        <v>9.4049999999999994</v>
      </c>
      <c r="M31" s="111"/>
      <c r="N31" s="111"/>
      <c r="O31" s="111"/>
      <c r="P31" s="111"/>
    </row>
    <row r="32" spans="1:16" x14ac:dyDescent="0.3">
      <c r="C32" s="106"/>
      <c r="D32" s="137" t="s">
        <v>444</v>
      </c>
      <c r="E32" s="121"/>
      <c r="F32" s="3"/>
      <c r="G32" s="122"/>
      <c r="H32" s="122"/>
      <c r="I32" s="122"/>
      <c r="J32" s="3"/>
      <c r="K32" s="113"/>
      <c r="L32" s="113"/>
      <c r="M32" s="113"/>
      <c r="N32" s="113"/>
      <c r="O32" s="113"/>
      <c r="P32" s="113"/>
    </row>
    <row r="33" spans="3:16" x14ac:dyDescent="0.3">
      <c r="C33" s="114"/>
      <c r="D33" s="238" t="s">
        <v>864</v>
      </c>
      <c r="E33" s="234" t="s">
        <v>0</v>
      </c>
      <c r="F33" s="235">
        <v>3</v>
      </c>
      <c r="G33" s="236">
        <v>1.1499999999999999</v>
      </c>
      <c r="H33" s="236"/>
      <c r="I33" s="236">
        <v>1.95</v>
      </c>
      <c r="J33" s="235">
        <v>1</v>
      </c>
      <c r="K33" s="237"/>
      <c r="L33" s="237">
        <f t="shared" ref="L33" si="1">IF(F33="","",PRODUCT(F33:J33))</f>
        <v>6.7274999999999991</v>
      </c>
      <c r="M33" s="111"/>
      <c r="N33" s="111"/>
      <c r="O33" s="111"/>
      <c r="P33" s="111"/>
    </row>
    <row r="34" spans="3:16" x14ac:dyDescent="0.3">
      <c r="C34" s="106"/>
      <c r="D34" s="137" t="s">
        <v>865</v>
      </c>
      <c r="E34" s="138"/>
      <c r="F34" s="139"/>
      <c r="G34" s="2"/>
      <c r="H34" s="2"/>
      <c r="I34" s="2"/>
      <c r="J34" s="119"/>
      <c r="K34" s="113"/>
      <c r="L34" s="113"/>
      <c r="M34" s="113"/>
      <c r="N34" s="113"/>
      <c r="O34" s="113"/>
      <c r="P34" s="113"/>
    </row>
    <row r="35" spans="3:16" x14ac:dyDescent="0.3">
      <c r="C35" s="114"/>
      <c r="D35" s="238" t="s">
        <v>866</v>
      </c>
      <c r="E35" s="239" t="s">
        <v>0</v>
      </c>
      <c r="F35" s="240">
        <v>6</v>
      </c>
      <c r="G35" s="241">
        <v>0.95</v>
      </c>
      <c r="H35" s="241"/>
      <c r="I35" s="241">
        <v>2.95</v>
      </c>
      <c r="J35" s="242">
        <v>1</v>
      </c>
      <c r="K35" s="237"/>
      <c r="L35" s="237">
        <f>PRODUCT(F35:J35)</f>
        <v>16.814999999999998</v>
      </c>
      <c r="M35" s="111"/>
      <c r="N35" s="111"/>
      <c r="O35" s="111"/>
      <c r="P35" s="111"/>
    </row>
    <row r="36" spans="3:16" x14ac:dyDescent="0.3">
      <c r="C36" s="114"/>
      <c r="D36" s="238" t="s">
        <v>866</v>
      </c>
      <c r="E36" s="239" t="s">
        <v>0</v>
      </c>
      <c r="F36" s="240">
        <v>12</v>
      </c>
      <c r="G36" s="241">
        <v>1.41</v>
      </c>
      <c r="H36" s="241"/>
      <c r="I36" s="241">
        <v>2.95</v>
      </c>
      <c r="J36" s="242">
        <v>1</v>
      </c>
      <c r="K36" s="237"/>
      <c r="L36" s="237">
        <f>PRODUCT(F36:J36)</f>
        <v>49.913999999999994</v>
      </c>
      <c r="M36" s="111"/>
      <c r="N36" s="111"/>
      <c r="O36" s="111"/>
      <c r="P36" s="111"/>
    </row>
    <row r="37" spans="3:16" x14ac:dyDescent="0.3">
      <c r="C37" s="114"/>
      <c r="D37" s="238" t="s">
        <v>866</v>
      </c>
      <c r="E37" s="239" t="s">
        <v>0</v>
      </c>
      <c r="F37" s="240">
        <v>18</v>
      </c>
      <c r="G37" s="241">
        <v>0.55000000000000004</v>
      </c>
      <c r="H37" s="241"/>
      <c r="I37" s="241">
        <v>1.05</v>
      </c>
      <c r="J37" s="242">
        <v>1</v>
      </c>
      <c r="K37" s="237"/>
      <c r="L37" s="237">
        <f>PRODUCT(F37:J37)</f>
        <v>10.395000000000001</v>
      </c>
      <c r="M37" s="111"/>
      <c r="N37" s="111"/>
      <c r="O37" s="111"/>
      <c r="P37" s="111"/>
    </row>
    <row r="38" spans="3:16" x14ac:dyDescent="0.3">
      <c r="C38" s="114"/>
      <c r="D38" s="238" t="s">
        <v>867</v>
      </c>
      <c r="E38" s="239" t="s">
        <v>0</v>
      </c>
      <c r="F38" s="240">
        <v>2</v>
      </c>
      <c r="G38" s="241">
        <v>0.28000000000000003</v>
      </c>
      <c r="H38" s="241"/>
      <c r="I38" s="241">
        <v>2.1</v>
      </c>
      <c r="J38" s="242">
        <v>1</v>
      </c>
      <c r="K38" s="237"/>
      <c r="L38" s="237">
        <f>PRODUCT(F38:J38)</f>
        <v>1.1760000000000002</v>
      </c>
      <c r="M38" s="111"/>
      <c r="N38" s="111"/>
      <c r="O38" s="111"/>
      <c r="P38" s="111"/>
    </row>
    <row r="39" spans="3:16" x14ac:dyDescent="0.3">
      <c r="C39" s="114"/>
      <c r="D39" s="238"/>
      <c r="E39" s="239" t="s">
        <v>0</v>
      </c>
      <c r="F39" s="240">
        <v>2</v>
      </c>
      <c r="G39" s="241">
        <v>0.7</v>
      </c>
      <c r="H39" s="241"/>
      <c r="I39" s="241">
        <v>2.1</v>
      </c>
      <c r="J39" s="242">
        <v>1</v>
      </c>
      <c r="K39" s="237"/>
      <c r="L39" s="237">
        <f>PRODUCT(F39:J39)</f>
        <v>2.94</v>
      </c>
      <c r="M39" s="111"/>
      <c r="N39" s="111"/>
      <c r="O39" s="111"/>
      <c r="P39" s="111"/>
    </row>
    <row r="40" spans="3:16" x14ac:dyDescent="0.3">
      <c r="C40" s="106"/>
      <c r="D40" s="140" t="s">
        <v>68</v>
      </c>
      <c r="E40" s="144"/>
      <c r="F40" s="119"/>
      <c r="G40" s="122"/>
      <c r="H40" s="122"/>
      <c r="I40" s="122"/>
      <c r="J40" s="119"/>
      <c r="K40" s="113"/>
      <c r="L40" s="113"/>
      <c r="M40" s="113"/>
      <c r="N40" s="113"/>
      <c r="O40" s="113"/>
      <c r="P40" s="113"/>
    </row>
    <row r="41" spans="3:16" x14ac:dyDescent="0.3">
      <c r="C41" s="106"/>
      <c r="D41" s="137" t="s">
        <v>160</v>
      </c>
      <c r="E41" s="138"/>
      <c r="F41" s="139"/>
      <c r="G41" s="2"/>
      <c r="H41" s="2"/>
      <c r="I41" s="2"/>
      <c r="J41" s="119"/>
      <c r="K41" s="113"/>
      <c r="L41" s="113"/>
      <c r="M41" s="113"/>
      <c r="N41" s="113"/>
      <c r="O41" s="113"/>
      <c r="P41" s="113"/>
    </row>
    <row r="42" spans="3:16" x14ac:dyDescent="0.3">
      <c r="C42" s="114"/>
      <c r="D42" s="238" t="s">
        <v>854</v>
      </c>
      <c r="E42" s="239" t="s">
        <v>0</v>
      </c>
      <c r="F42" s="240">
        <v>1</v>
      </c>
      <c r="G42" s="241">
        <v>3.65</v>
      </c>
      <c r="H42" s="241"/>
      <c r="I42" s="241">
        <v>2.1</v>
      </c>
      <c r="J42" s="242">
        <v>1</v>
      </c>
      <c r="K42" s="237"/>
      <c r="L42" s="237">
        <f t="shared" ref="L42:L51" si="2">PRODUCT(F42:J42)</f>
        <v>7.665</v>
      </c>
      <c r="M42" s="111"/>
      <c r="N42" s="111"/>
      <c r="O42" s="111"/>
      <c r="P42" s="111"/>
    </row>
    <row r="43" spans="3:16" x14ac:dyDescent="0.3">
      <c r="C43" s="114"/>
      <c r="D43" s="238" t="s">
        <v>855</v>
      </c>
      <c r="E43" s="239" t="s">
        <v>0</v>
      </c>
      <c r="F43" s="240">
        <v>1</v>
      </c>
      <c r="G43" s="241">
        <v>1.1499999999999999</v>
      </c>
      <c r="H43" s="241"/>
      <c r="I43" s="241">
        <v>2.1</v>
      </c>
      <c r="J43" s="242">
        <v>1</v>
      </c>
      <c r="K43" s="237"/>
      <c r="L43" s="237">
        <f t="shared" si="2"/>
        <v>2.415</v>
      </c>
      <c r="M43" s="111"/>
      <c r="N43" s="111"/>
      <c r="O43" s="111"/>
      <c r="P43" s="111"/>
    </row>
    <row r="44" spans="3:16" x14ac:dyDescent="0.3">
      <c r="C44" s="114"/>
      <c r="D44" s="238" t="s">
        <v>856</v>
      </c>
      <c r="E44" s="239" t="s">
        <v>0</v>
      </c>
      <c r="F44" s="240">
        <v>1</v>
      </c>
      <c r="G44" s="241">
        <v>3.65</v>
      </c>
      <c r="H44" s="241"/>
      <c r="I44" s="241">
        <v>2.1</v>
      </c>
      <c r="J44" s="242">
        <v>1</v>
      </c>
      <c r="K44" s="237"/>
      <c r="L44" s="237">
        <f t="shared" si="2"/>
        <v>7.665</v>
      </c>
      <c r="M44" s="111"/>
      <c r="N44" s="111"/>
      <c r="O44" s="111"/>
      <c r="P44" s="111"/>
    </row>
    <row r="45" spans="3:16" x14ac:dyDescent="0.3">
      <c r="C45" s="114"/>
      <c r="D45" s="238" t="s">
        <v>857</v>
      </c>
      <c r="E45" s="239" t="s">
        <v>0</v>
      </c>
      <c r="F45" s="240">
        <v>1</v>
      </c>
      <c r="G45" s="241">
        <v>1.1499999999999999</v>
      </c>
      <c r="H45" s="241"/>
      <c r="I45" s="241">
        <v>2.1</v>
      </c>
      <c r="J45" s="242">
        <v>1</v>
      </c>
      <c r="K45" s="237"/>
      <c r="L45" s="237">
        <f t="shared" si="2"/>
        <v>2.415</v>
      </c>
      <c r="M45" s="111"/>
      <c r="N45" s="111"/>
      <c r="O45" s="111"/>
      <c r="P45" s="111"/>
    </row>
    <row r="46" spans="3:16" x14ac:dyDescent="0.3">
      <c r="C46" s="114"/>
      <c r="D46" s="238" t="s">
        <v>858</v>
      </c>
      <c r="E46" s="239" t="s">
        <v>0</v>
      </c>
      <c r="F46" s="240">
        <v>1</v>
      </c>
      <c r="G46" s="241">
        <v>3.65</v>
      </c>
      <c r="H46" s="241"/>
      <c r="I46" s="241">
        <v>2.1</v>
      </c>
      <c r="J46" s="242">
        <v>1</v>
      </c>
      <c r="K46" s="237"/>
      <c r="L46" s="237">
        <f t="shared" si="2"/>
        <v>7.665</v>
      </c>
      <c r="M46" s="111"/>
      <c r="N46" s="111"/>
      <c r="O46" s="111"/>
      <c r="P46" s="111"/>
    </row>
    <row r="47" spans="3:16" x14ac:dyDescent="0.3">
      <c r="C47" s="114"/>
      <c r="D47" s="238" t="s">
        <v>859</v>
      </c>
      <c r="E47" s="239" t="s">
        <v>0</v>
      </c>
      <c r="F47" s="240">
        <v>1</v>
      </c>
      <c r="G47" s="241">
        <v>1.1499999999999999</v>
      </c>
      <c r="H47" s="241"/>
      <c r="I47" s="241">
        <v>2.1</v>
      </c>
      <c r="J47" s="242">
        <v>1</v>
      </c>
      <c r="K47" s="237"/>
      <c r="L47" s="237">
        <f t="shared" si="2"/>
        <v>2.415</v>
      </c>
      <c r="M47" s="111"/>
      <c r="N47" s="111"/>
      <c r="O47" s="111"/>
      <c r="P47" s="111"/>
    </row>
    <row r="48" spans="3:16" x14ac:dyDescent="0.3">
      <c r="C48" s="114"/>
      <c r="D48" s="238" t="s">
        <v>860</v>
      </c>
      <c r="E48" s="239" t="s">
        <v>0</v>
      </c>
      <c r="F48" s="240">
        <v>1</v>
      </c>
      <c r="G48" s="241">
        <v>3.3</v>
      </c>
      <c r="H48" s="241"/>
      <c r="I48" s="241">
        <v>2.85</v>
      </c>
      <c r="J48" s="242">
        <v>1</v>
      </c>
      <c r="K48" s="237"/>
      <c r="L48" s="237">
        <f t="shared" si="2"/>
        <v>9.4049999999999994</v>
      </c>
      <c r="M48" s="111"/>
      <c r="N48" s="111"/>
      <c r="O48" s="111"/>
      <c r="P48" s="111"/>
    </row>
    <row r="49" spans="3:16" x14ac:dyDescent="0.3">
      <c r="C49" s="114"/>
      <c r="D49" s="238" t="s">
        <v>861</v>
      </c>
      <c r="E49" s="239" t="s">
        <v>0</v>
      </c>
      <c r="F49" s="240">
        <v>1</v>
      </c>
      <c r="G49" s="241">
        <v>3.3</v>
      </c>
      <c r="H49" s="241"/>
      <c r="I49" s="241">
        <v>2.85</v>
      </c>
      <c r="J49" s="242">
        <v>2</v>
      </c>
      <c r="K49" s="237"/>
      <c r="L49" s="237">
        <f t="shared" si="2"/>
        <v>18.809999999999999</v>
      </c>
      <c r="M49" s="111"/>
      <c r="N49" s="111"/>
      <c r="O49" s="111"/>
      <c r="P49" s="111"/>
    </row>
    <row r="50" spans="3:16" x14ac:dyDescent="0.3">
      <c r="C50" s="114"/>
      <c r="D50" s="238" t="s">
        <v>862</v>
      </c>
      <c r="E50" s="239" t="s">
        <v>0</v>
      </c>
      <c r="F50" s="240">
        <v>1</v>
      </c>
      <c r="G50" s="241">
        <v>3.3</v>
      </c>
      <c r="H50" s="241"/>
      <c r="I50" s="241">
        <v>2.85</v>
      </c>
      <c r="J50" s="242">
        <v>2</v>
      </c>
      <c r="K50" s="237"/>
      <c r="L50" s="237">
        <f t="shared" si="2"/>
        <v>18.809999999999999</v>
      </c>
      <c r="M50" s="111"/>
      <c r="N50" s="111"/>
      <c r="O50" s="111"/>
      <c r="P50" s="111"/>
    </row>
    <row r="51" spans="3:16" x14ac:dyDescent="0.3">
      <c r="C51" s="114"/>
      <c r="D51" s="238" t="s">
        <v>863</v>
      </c>
      <c r="E51" s="239" t="s">
        <v>0</v>
      </c>
      <c r="F51" s="240">
        <v>1</v>
      </c>
      <c r="G51" s="241">
        <v>3.3</v>
      </c>
      <c r="H51" s="241"/>
      <c r="I51" s="241">
        <v>2.85</v>
      </c>
      <c r="J51" s="242">
        <v>1</v>
      </c>
      <c r="K51" s="237"/>
      <c r="L51" s="237">
        <f t="shared" si="2"/>
        <v>9.4049999999999994</v>
      </c>
      <c r="M51" s="111"/>
      <c r="N51" s="111"/>
      <c r="O51" s="111"/>
      <c r="P51" s="111"/>
    </row>
    <row r="52" spans="3:16" x14ac:dyDescent="0.3">
      <c r="C52" s="106"/>
      <c r="D52" s="137" t="s">
        <v>444</v>
      </c>
      <c r="E52" s="121"/>
      <c r="F52" s="3"/>
      <c r="G52" s="122"/>
      <c r="H52" s="122"/>
      <c r="I52" s="122"/>
      <c r="J52" s="3"/>
      <c r="K52" s="113"/>
      <c r="L52" s="113"/>
      <c r="M52" s="113"/>
      <c r="N52" s="113"/>
      <c r="O52" s="113"/>
      <c r="P52" s="113"/>
    </row>
    <row r="53" spans="3:16" x14ac:dyDescent="0.3">
      <c r="C53" s="114"/>
      <c r="D53" s="238" t="s">
        <v>864</v>
      </c>
      <c r="E53" s="234" t="s">
        <v>0</v>
      </c>
      <c r="F53" s="235">
        <v>3</v>
      </c>
      <c r="G53" s="236">
        <v>1.1499999999999999</v>
      </c>
      <c r="H53" s="236"/>
      <c r="I53" s="236">
        <v>1.95</v>
      </c>
      <c r="J53" s="235">
        <v>1</v>
      </c>
      <c r="K53" s="237"/>
      <c r="L53" s="237">
        <f t="shared" ref="L53" si="3">IF(F53="","",PRODUCT(F53:J53))</f>
        <v>6.7274999999999991</v>
      </c>
      <c r="M53" s="111"/>
      <c r="N53" s="111"/>
      <c r="O53" s="111"/>
      <c r="P53" s="111"/>
    </row>
    <row r="54" spans="3:16" x14ac:dyDescent="0.3">
      <c r="C54" s="114"/>
      <c r="D54" s="137" t="s">
        <v>865</v>
      </c>
      <c r="E54" s="138"/>
      <c r="F54" s="139"/>
      <c r="G54" s="2"/>
      <c r="H54" s="2"/>
      <c r="I54" s="2"/>
      <c r="J54" s="119"/>
      <c r="K54" s="113"/>
      <c r="L54" s="113"/>
      <c r="M54" s="111"/>
      <c r="N54" s="111"/>
      <c r="O54" s="111"/>
      <c r="P54" s="111"/>
    </row>
    <row r="55" spans="3:16" x14ac:dyDescent="0.3">
      <c r="C55" s="114"/>
      <c r="D55" s="238" t="s">
        <v>866</v>
      </c>
      <c r="E55" s="239" t="s">
        <v>0</v>
      </c>
      <c r="F55" s="240">
        <v>6</v>
      </c>
      <c r="G55" s="241">
        <v>0.95</v>
      </c>
      <c r="H55" s="241"/>
      <c r="I55" s="241">
        <v>2.95</v>
      </c>
      <c r="J55" s="242">
        <v>1</v>
      </c>
      <c r="K55" s="237"/>
      <c r="L55" s="237">
        <f>PRODUCT(F55:J55)</f>
        <v>16.814999999999998</v>
      </c>
      <c r="M55" s="111"/>
      <c r="N55" s="111"/>
      <c r="O55" s="111"/>
      <c r="P55" s="111"/>
    </row>
    <row r="56" spans="3:16" x14ac:dyDescent="0.3">
      <c r="C56" s="106"/>
      <c r="D56" s="238" t="s">
        <v>866</v>
      </c>
      <c r="E56" s="239" t="s">
        <v>0</v>
      </c>
      <c r="F56" s="240">
        <v>12</v>
      </c>
      <c r="G56" s="241">
        <v>1.41</v>
      </c>
      <c r="H56" s="241"/>
      <c r="I56" s="241">
        <v>2.95</v>
      </c>
      <c r="J56" s="242">
        <v>1</v>
      </c>
      <c r="K56" s="237"/>
      <c r="L56" s="237">
        <f>PRODUCT(F56:J56)</f>
        <v>49.913999999999994</v>
      </c>
      <c r="M56" s="113"/>
      <c r="N56" s="113"/>
      <c r="O56" s="113"/>
      <c r="P56" s="113"/>
    </row>
    <row r="57" spans="3:16" x14ac:dyDescent="0.3">
      <c r="C57" s="106"/>
      <c r="D57" s="238" t="s">
        <v>867</v>
      </c>
      <c r="E57" s="239" t="s">
        <v>0</v>
      </c>
      <c r="F57" s="240">
        <v>2</v>
      </c>
      <c r="G57" s="241">
        <v>0.28000000000000003</v>
      </c>
      <c r="H57" s="241"/>
      <c r="I57" s="241">
        <v>2.1</v>
      </c>
      <c r="J57" s="242">
        <v>1</v>
      </c>
      <c r="K57" s="237"/>
      <c r="L57" s="237">
        <f>PRODUCT(F57:J57)</f>
        <v>1.1760000000000002</v>
      </c>
      <c r="M57" s="113"/>
      <c r="N57" s="113"/>
      <c r="O57" s="113"/>
      <c r="P57" s="113"/>
    </row>
    <row r="58" spans="3:16" x14ac:dyDescent="0.3">
      <c r="C58" s="106"/>
      <c r="D58" s="238"/>
      <c r="E58" s="239" t="s">
        <v>0</v>
      </c>
      <c r="F58" s="240">
        <v>2</v>
      </c>
      <c r="G58" s="241">
        <v>0.7</v>
      </c>
      <c r="H58" s="241"/>
      <c r="I58" s="241">
        <v>2.1</v>
      </c>
      <c r="J58" s="242">
        <v>1</v>
      </c>
      <c r="K58" s="237"/>
      <c r="L58" s="237">
        <f>PRODUCT(F58:J58)</f>
        <v>2.94</v>
      </c>
      <c r="M58" s="113"/>
      <c r="N58" s="113"/>
      <c r="O58" s="113"/>
      <c r="P58" s="113"/>
    </row>
    <row r="59" spans="3:16" x14ac:dyDescent="0.3">
      <c r="C59" s="106"/>
      <c r="D59" s="140" t="s">
        <v>45</v>
      </c>
      <c r="E59" s="138"/>
      <c r="F59" s="139"/>
      <c r="G59" s="2"/>
      <c r="H59" s="2"/>
      <c r="I59" s="2"/>
      <c r="J59" s="119"/>
      <c r="K59" s="113"/>
      <c r="L59" s="113"/>
      <c r="M59" s="113"/>
      <c r="N59" s="113"/>
      <c r="O59" s="113"/>
      <c r="P59" s="113"/>
    </row>
    <row r="60" spans="3:16" x14ac:dyDescent="0.3">
      <c r="C60" s="106"/>
      <c r="D60" s="137" t="s">
        <v>160</v>
      </c>
      <c r="E60" s="138"/>
      <c r="F60" s="139"/>
      <c r="G60" s="2"/>
      <c r="H60" s="2"/>
      <c r="I60" s="2"/>
      <c r="J60" s="119"/>
      <c r="K60" s="113"/>
      <c r="L60" s="113"/>
      <c r="M60" s="113"/>
      <c r="N60" s="113"/>
      <c r="O60" s="113"/>
      <c r="P60" s="113"/>
    </row>
    <row r="61" spans="3:16" x14ac:dyDescent="0.3">
      <c r="C61" s="114"/>
      <c r="D61" s="238" t="s">
        <v>854</v>
      </c>
      <c r="E61" s="239" t="s">
        <v>0</v>
      </c>
      <c r="F61" s="240">
        <v>1</v>
      </c>
      <c r="G61" s="241">
        <v>3.65</v>
      </c>
      <c r="H61" s="241"/>
      <c r="I61" s="241">
        <v>2.1</v>
      </c>
      <c r="J61" s="242">
        <v>1</v>
      </c>
      <c r="K61" s="237"/>
      <c r="L61" s="237">
        <f t="shared" ref="L61:L70" si="4">PRODUCT(F61:J61)</f>
        <v>7.665</v>
      </c>
      <c r="M61" s="111"/>
      <c r="N61" s="111"/>
      <c r="O61" s="111"/>
      <c r="P61" s="111"/>
    </row>
    <row r="62" spans="3:16" x14ac:dyDescent="0.3">
      <c r="C62" s="114"/>
      <c r="D62" s="238" t="s">
        <v>855</v>
      </c>
      <c r="E62" s="239" t="s">
        <v>0</v>
      </c>
      <c r="F62" s="240">
        <v>1</v>
      </c>
      <c r="G62" s="241">
        <v>1.1499999999999999</v>
      </c>
      <c r="H62" s="241"/>
      <c r="I62" s="241">
        <v>2.1</v>
      </c>
      <c r="J62" s="242">
        <v>1</v>
      </c>
      <c r="K62" s="237"/>
      <c r="L62" s="237">
        <f t="shared" si="4"/>
        <v>2.415</v>
      </c>
      <c r="M62" s="111"/>
      <c r="N62" s="111"/>
      <c r="O62" s="111"/>
      <c r="P62" s="111"/>
    </row>
    <row r="63" spans="3:16" x14ac:dyDescent="0.3">
      <c r="C63" s="114"/>
      <c r="D63" s="238" t="s">
        <v>856</v>
      </c>
      <c r="E63" s="239" t="s">
        <v>0</v>
      </c>
      <c r="F63" s="240">
        <v>1</v>
      </c>
      <c r="G63" s="241">
        <v>3.65</v>
      </c>
      <c r="H63" s="241"/>
      <c r="I63" s="241">
        <v>2.1</v>
      </c>
      <c r="J63" s="242">
        <v>1</v>
      </c>
      <c r="K63" s="237"/>
      <c r="L63" s="237">
        <f t="shared" si="4"/>
        <v>7.665</v>
      </c>
      <c r="M63" s="111"/>
      <c r="N63" s="111"/>
      <c r="O63" s="111"/>
      <c r="P63" s="111"/>
    </row>
    <row r="64" spans="3:16" x14ac:dyDescent="0.3">
      <c r="C64" s="114"/>
      <c r="D64" s="238" t="s">
        <v>857</v>
      </c>
      <c r="E64" s="239" t="s">
        <v>0</v>
      </c>
      <c r="F64" s="240">
        <v>1</v>
      </c>
      <c r="G64" s="241">
        <v>1.1499999999999999</v>
      </c>
      <c r="H64" s="241"/>
      <c r="I64" s="241">
        <v>2.1</v>
      </c>
      <c r="J64" s="242">
        <v>1</v>
      </c>
      <c r="K64" s="237"/>
      <c r="L64" s="237">
        <f t="shared" si="4"/>
        <v>2.415</v>
      </c>
      <c r="M64" s="111"/>
      <c r="N64" s="111"/>
      <c r="O64" s="111"/>
      <c r="P64" s="111"/>
    </row>
    <row r="65" spans="3:16" x14ac:dyDescent="0.3">
      <c r="C65" s="114"/>
      <c r="D65" s="238" t="s">
        <v>858</v>
      </c>
      <c r="E65" s="239" t="s">
        <v>0</v>
      </c>
      <c r="F65" s="240">
        <v>1</v>
      </c>
      <c r="G65" s="241">
        <v>3.65</v>
      </c>
      <c r="H65" s="241"/>
      <c r="I65" s="241">
        <v>2.1</v>
      </c>
      <c r="J65" s="242">
        <v>1</v>
      </c>
      <c r="K65" s="237"/>
      <c r="L65" s="237">
        <f t="shared" si="4"/>
        <v>7.665</v>
      </c>
      <c r="M65" s="111"/>
      <c r="N65" s="111"/>
      <c r="O65" s="111"/>
      <c r="P65" s="111"/>
    </row>
    <row r="66" spans="3:16" x14ac:dyDescent="0.3">
      <c r="C66" s="114"/>
      <c r="D66" s="238" t="s">
        <v>859</v>
      </c>
      <c r="E66" s="239" t="s">
        <v>0</v>
      </c>
      <c r="F66" s="240">
        <v>1</v>
      </c>
      <c r="G66" s="241">
        <v>1.1499999999999999</v>
      </c>
      <c r="H66" s="241"/>
      <c r="I66" s="241">
        <v>2.1</v>
      </c>
      <c r="J66" s="242">
        <v>1</v>
      </c>
      <c r="K66" s="237"/>
      <c r="L66" s="237">
        <f t="shared" si="4"/>
        <v>2.415</v>
      </c>
      <c r="M66" s="111"/>
      <c r="N66" s="111"/>
      <c r="O66" s="111"/>
      <c r="P66" s="111"/>
    </row>
    <row r="67" spans="3:16" x14ac:dyDescent="0.3">
      <c r="C67" s="114"/>
      <c r="D67" s="238" t="s">
        <v>860</v>
      </c>
      <c r="E67" s="239" t="s">
        <v>0</v>
      </c>
      <c r="F67" s="240">
        <v>1</v>
      </c>
      <c r="G67" s="241">
        <v>3.3</v>
      </c>
      <c r="H67" s="241"/>
      <c r="I67" s="241">
        <v>2.85</v>
      </c>
      <c r="J67" s="242">
        <v>1</v>
      </c>
      <c r="K67" s="237"/>
      <c r="L67" s="237">
        <f t="shared" si="4"/>
        <v>9.4049999999999994</v>
      </c>
      <c r="M67" s="111"/>
      <c r="N67" s="111"/>
      <c r="O67" s="111"/>
      <c r="P67" s="111"/>
    </row>
    <row r="68" spans="3:16" x14ac:dyDescent="0.3">
      <c r="C68" s="114"/>
      <c r="D68" s="238" t="s">
        <v>861</v>
      </c>
      <c r="E68" s="239" t="s">
        <v>0</v>
      </c>
      <c r="F68" s="240">
        <v>1</v>
      </c>
      <c r="G68" s="241">
        <v>3.3</v>
      </c>
      <c r="H68" s="241"/>
      <c r="I68" s="241">
        <v>2.85</v>
      </c>
      <c r="J68" s="242">
        <v>2</v>
      </c>
      <c r="K68" s="237"/>
      <c r="L68" s="237">
        <f t="shared" si="4"/>
        <v>18.809999999999999</v>
      </c>
      <c r="M68" s="111"/>
      <c r="N68" s="111"/>
      <c r="O68" s="111"/>
      <c r="P68" s="111"/>
    </row>
    <row r="69" spans="3:16" x14ac:dyDescent="0.3">
      <c r="C69" s="114"/>
      <c r="D69" s="238" t="s">
        <v>862</v>
      </c>
      <c r="E69" s="239" t="s">
        <v>0</v>
      </c>
      <c r="F69" s="240">
        <v>1</v>
      </c>
      <c r="G69" s="241">
        <v>3.3</v>
      </c>
      <c r="H69" s="241"/>
      <c r="I69" s="241">
        <v>2.85</v>
      </c>
      <c r="J69" s="242">
        <v>2</v>
      </c>
      <c r="K69" s="237"/>
      <c r="L69" s="237">
        <f t="shared" si="4"/>
        <v>18.809999999999999</v>
      </c>
      <c r="M69" s="111"/>
      <c r="N69" s="111"/>
      <c r="O69" s="111"/>
      <c r="P69" s="111"/>
    </row>
    <row r="70" spans="3:16" x14ac:dyDescent="0.3">
      <c r="C70" s="114"/>
      <c r="D70" s="238" t="s">
        <v>863</v>
      </c>
      <c r="E70" s="239" t="s">
        <v>0</v>
      </c>
      <c r="F70" s="240">
        <v>1</v>
      </c>
      <c r="G70" s="241">
        <v>3.3</v>
      </c>
      <c r="H70" s="241"/>
      <c r="I70" s="241">
        <v>2.85</v>
      </c>
      <c r="J70" s="242">
        <v>1</v>
      </c>
      <c r="K70" s="237"/>
      <c r="L70" s="237">
        <f t="shared" si="4"/>
        <v>9.4049999999999994</v>
      </c>
      <c r="M70" s="111"/>
      <c r="N70" s="111"/>
      <c r="O70" s="111"/>
      <c r="P70" s="111"/>
    </row>
    <row r="71" spans="3:16" x14ac:dyDescent="0.3">
      <c r="C71" s="106"/>
      <c r="D71" s="137" t="s">
        <v>444</v>
      </c>
      <c r="E71" s="121"/>
      <c r="F71" s="3"/>
      <c r="G71" s="122"/>
      <c r="H71" s="122"/>
      <c r="I71" s="122"/>
      <c r="J71" s="3"/>
      <c r="K71" s="113"/>
      <c r="L71" s="113"/>
      <c r="M71" s="113"/>
      <c r="N71" s="113"/>
      <c r="O71" s="113"/>
      <c r="P71" s="113"/>
    </row>
    <row r="72" spans="3:16" x14ac:dyDescent="0.3">
      <c r="C72" s="114"/>
      <c r="D72" s="238" t="s">
        <v>864</v>
      </c>
      <c r="E72" s="234" t="s">
        <v>0</v>
      </c>
      <c r="F72" s="235">
        <v>3</v>
      </c>
      <c r="G72" s="236">
        <v>1.1499999999999999</v>
      </c>
      <c r="H72" s="236"/>
      <c r="I72" s="236">
        <v>1.95</v>
      </c>
      <c r="J72" s="235">
        <v>1</v>
      </c>
      <c r="K72" s="237"/>
      <c r="L72" s="237">
        <f t="shared" ref="L72" si="5">IF(F72="","",PRODUCT(F72:J72))</f>
        <v>6.7274999999999991</v>
      </c>
      <c r="M72" s="111"/>
      <c r="N72" s="111"/>
      <c r="O72" s="111"/>
      <c r="P72" s="111"/>
    </row>
    <row r="73" spans="3:16" x14ac:dyDescent="0.3">
      <c r="C73" s="114"/>
      <c r="D73" s="137" t="s">
        <v>865</v>
      </c>
      <c r="E73" s="138"/>
      <c r="F73" s="139"/>
      <c r="G73" s="2"/>
      <c r="H73" s="2"/>
      <c r="I73" s="2"/>
      <c r="J73" s="119"/>
      <c r="K73" s="113"/>
      <c r="L73" s="113"/>
      <c r="M73" s="111"/>
      <c r="N73" s="111"/>
      <c r="O73" s="111"/>
      <c r="P73" s="111"/>
    </row>
    <row r="74" spans="3:16" x14ac:dyDescent="0.3">
      <c r="C74" s="114"/>
      <c r="D74" s="238" t="s">
        <v>866</v>
      </c>
      <c r="E74" s="239" t="s">
        <v>0</v>
      </c>
      <c r="F74" s="240">
        <v>6</v>
      </c>
      <c r="G74" s="241">
        <v>0.95</v>
      </c>
      <c r="H74" s="241"/>
      <c r="I74" s="241">
        <v>2.95</v>
      </c>
      <c r="J74" s="242">
        <v>1</v>
      </c>
      <c r="K74" s="237"/>
      <c r="L74" s="237">
        <f>PRODUCT(F74:J74)</f>
        <v>16.814999999999998</v>
      </c>
      <c r="M74" s="111"/>
      <c r="N74" s="111"/>
      <c r="O74" s="111"/>
      <c r="P74" s="111"/>
    </row>
    <row r="75" spans="3:16" x14ac:dyDescent="0.3">
      <c r="C75" s="106"/>
      <c r="D75" s="238" t="s">
        <v>866</v>
      </c>
      <c r="E75" s="239" t="s">
        <v>0</v>
      </c>
      <c r="F75" s="240">
        <v>12</v>
      </c>
      <c r="G75" s="241">
        <v>1.41</v>
      </c>
      <c r="H75" s="241"/>
      <c r="I75" s="241">
        <v>2.95</v>
      </c>
      <c r="J75" s="242">
        <v>1</v>
      </c>
      <c r="K75" s="237"/>
      <c r="L75" s="237">
        <f>PRODUCT(F75:J75)</f>
        <v>49.913999999999994</v>
      </c>
      <c r="M75" s="113"/>
      <c r="N75" s="113"/>
      <c r="O75" s="113"/>
      <c r="P75" s="113"/>
    </row>
    <row r="76" spans="3:16" x14ac:dyDescent="0.3">
      <c r="C76" s="114"/>
      <c r="D76" s="238" t="s">
        <v>867</v>
      </c>
      <c r="E76" s="239" t="s">
        <v>0</v>
      </c>
      <c r="F76" s="240">
        <v>2</v>
      </c>
      <c r="G76" s="241">
        <v>0.28000000000000003</v>
      </c>
      <c r="H76" s="241"/>
      <c r="I76" s="241">
        <v>2.1</v>
      </c>
      <c r="J76" s="242">
        <v>1</v>
      </c>
      <c r="K76" s="237"/>
      <c r="L76" s="237">
        <f>PRODUCT(F76:J76)</f>
        <v>1.1760000000000002</v>
      </c>
      <c r="M76" s="111"/>
      <c r="N76" s="111"/>
      <c r="O76" s="111"/>
      <c r="P76" s="111"/>
    </row>
    <row r="77" spans="3:16" x14ac:dyDescent="0.3">
      <c r="C77" s="114"/>
      <c r="D77" s="238"/>
      <c r="E77" s="239" t="s">
        <v>0</v>
      </c>
      <c r="F77" s="240">
        <v>2</v>
      </c>
      <c r="G77" s="241">
        <v>0.7</v>
      </c>
      <c r="H77" s="241"/>
      <c r="I77" s="241">
        <v>2.1</v>
      </c>
      <c r="J77" s="242">
        <v>1</v>
      </c>
      <c r="K77" s="237"/>
      <c r="L77" s="237">
        <f>PRODUCT(F77:J77)</f>
        <v>2.94</v>
      </c>
      <c r="M77" s="111"/>
      <c r="N77" s="111"/>
      <c r="O77" s="111"/>
      <c r="P77" s="111"/>
    </row>
    <row r="78" spans="3:16" x14ac:dyDescent="0.3">
      <c r="C78" s="106"/>
      <c r="D78" s="140" t="s">
        <v>69</v>
      </c>
      <c r="E78" s="138"/>
      <c r="F78" s="139"/>
      <c r="G78" s="2"/>
      <c r="H78" s="2"/>
      <c r="I78" s="2"/>
      <c r="J78" s="119"/>
      <c r="K78" s="113"/>
      <c r="L78" s="113"/>
      <c r="M78" s="113"/>
      <c r="N78" s="113"/>
      <c r="O78" s="113"/>
      <c r="P78" s="113"/>
    </row>
    <row r="79" spans="3:16" x14ac:dyDescent="0.3">
      <c r="C79" s="114"/>
      <c r="D79" s="137" t="s">
        <v>865</v>
      </c>
      <c r="E79" s="138"/>
      <c r="F79" s="139"/>
      <c r="G79" s="2"/>
      <c r="H79" s="2"/>
      <c r="I79" s="2"/>
      <c r="J79" s="119"/>
      <c r="K79" s="113"/>
      <c r="L79" s="113"/>
      <c r="M79" s="111"/>
      <c r="N79" s="111"/>
      <c r="O79" s="111"/>
      <c r="P79" s="111"/>
    </row>
    <row r="80" spans="3:16" x14ac:dyDescent="0.3">
      <c r="C80" s="114"/>
      <c r="D80" s="238" t="s">
        <v>866</v>
      </c>
      <c r="E80" s="239" t="s">
        <v>0</v>
      </c>
      <c r="F80" s="240">
        <v>6</v>
      </c>
      <c r="G80" s="241">
        <v>0.95</v>
      </c>
      <c r="H80" s="241"/>
      <c r="I80" s="241">
        <v>3.95</v>
      </c>
      <c r="J80" s="242">
        <v>1</v>
      </c>
      <c r="K80" s="237"/>
      <c r="L80" s="237">
        <f>PRODUCT(F80:J80)</f>
        <v>22.514999999999997</v>
      </c>
      <c r="M80" s="111"/>
      <c r="N80" s="111"/>
      <c r="O80" s="111"/>
      <c r="P80" s="111"/>
    </row>
    <row r="81" spans="3:16" x14ac:dyDescent="0.3">
      <c r="C81" s="106"/>
      <c r="D81" s="238" t="s">
        <v>866</v>
      </c>
      <c r="E81" s="239" t="s">
        <v>0</v>
      </c>
      <c r="F81" s="240">
        <v>12</v>
      </c>
      <c r="G81" s="241">
        <v>1.41</v>
      </c>
      <c r="H81" s="241"/>
      <c r="I81" s="241">
        <v>3.95</v>
      </c>
      <c r="J81" s="242">
        <v>1</v>
      </c>
      <c r="K81" s="237"/>
      <c r="L81" s="237">
        <f>PRODUCT(F81:J81)</f>
        <v>66.833999999999989</v>
      </c>
      <c r="M81" s="113"/>
      <c r="N81" s="113"/>
      <c r="O81" s="113"/>
      <c r="P81" s="113"/>
    </row>
    <row r="82" spans="3:16" x14ac:dyDescent="0.3">
      <c r="C82" s="114"/>
      <c r="D82" s="238" t="s">
        <v>868</v>
      </c>
      <c r="E82" s="239" t="s">
        <v>0</v>
      </c>
      <c r="F82" s="240">
        <v>18</v>
      </c>
      <c r="G82" s="241">
        <v>0.55000000000000004</v>
      </c>
      <c r="H82" s="241"/>
      <c r="I82" s="241">
        <v>0.45</v>
      </c>
      <c r="J82" s="242">
        <v>1</v>
      </c>
      <c r="K82" s="237"/>
      <c r="L82" s="237">
        <f>PRODUCT(F82:J82)</f>
        <v>4.4550000000000001</v>
      </c>
      <c r="M82" s="111"/>
      <c r="N82" s="111"/>
      <c r="O82" s="111"/>
      <c r="P82" s="111"/>
    </row>
    <row r="83" spans="3:16" x14ac:dyDescent="0.3">
      <c r="C83" s="114"/>
      <c r="D83" s="279"/>
      <c r="E83" s="108"/>
      <c r="F83" s="148"/>
      <c r="G83" s="149"/>
      <c r="H83" s="149"/>
      <c r="I83" s="149"/>
      <c r="J83" s="112"/>
      <c r="K83" s="111"/>
      <c r="L83" s="111"/>
      <c r="M83" s="111"/>
      <c r="N83" s="111"/>
      <c r="O83" s="111"/>
      <c r="P83" s="111"/>
    </row>
    <row r="84" spans="3:16" x14ac:dyDescent="0.3">
      <c r="C84" s="99" t="s">
        <v>1181</v>
      </c>
      <c r="D84" s="288" t="s">
        <v>521</v>
      </c>
      <c r="E84" s="132" t="s">
        <v>0</v>
      </c>
      <c r="F84" s="136"/>
      <c r="G84" s="2"/>
      <c r="H84" s="2"/>
      <c r="I84" s="2"/>
      <c r="J84" s="102"/>
      <c r="K84" s="103"/>
      <c r="L84" s="103"/>
      <c r="M84" s="103"/>
      <c r="N84" s="103"/>
      <c r="O84" s="103"/>
      <c r="P84" s="103">
        <f>SUM(L85:L116)</f>
        <v>110.90250000000003</v>
      </c>
    </row>
    <row r="85" spans="3:16" x14ac:dyDescent="0.3">
      <c r="C85" s="106"/>
      <c r="D85" s="140" t="s">
        <v>33</v>
      </c>
      <c r="E85" s="138"/>
      <c r="F85" s="139"/>
      <c r="G85" s="2"/>
      <c r="H85" s="2"/>
      <c r="I85" s="2"/>
      <c r="J85" s="119"/>
      <c r="K85" s="113"/>
      <c r="L85" s="113"/>
      <c r="M85" s="113"/>
      <c r="N85" s="113"/>
      <c r="O85" s="113"/>
      <c r="P85" s="113"/>
    </row>
    <row r="86" spans="3:16" x14ac:dyDescent="0.3">
      <c r="C86" s="106"/>
      <c r="D86" s="137" t="s">
        <v>160</v>
      </c>
      <c r="E86" s="138"/>
      <c r="F86" s="139"/>
      <c r="G86" s="2"/>
      <c r="H86" s="2"/>
      <c r="I86" s="2"/>
      <c r="J86" s="119"/>
      <c r="K86" s="113"/>
      <c r="L86" s="113"/>
      <c r="M86" s="113"/>
      <c r="N86" s="113"/>
      <c r="O86" s="113"/>
      <c r="P86" s="113"/>
    </row>
    <row r="87" spans="3:16" x14ac:dyDescent="0.3">
      <c r="C87" s="114"/>
      <c r="D87" s="238" t="s">
        <v>854</v>
      </c>
      <c r="E87" s="239" t="s">
        <v>0</v>
      </c>
      <c r="F87" s="240">
        <v>1</v>
      </c>
      <c r="G87" s="241">
        <v>3.65</v>
      </c>
      <c r="H87" s="241"/>
      <c r="I87" s="241">
        <v>2.1</v>
      </c>
      <c r="J87" s="242">
        <v>1</v>
      </c>
      <c r="K87" s="237"/>
      <c r="L87" s="237">
        <f t="shared" ref="L87:L92" si="6">PRODUCT(F87:J87)</f>
        <v>7.665</v>
      </c>
      <c r="M87" s="111"/>
      <c r="N87" s="111"/>
      <c r="O87" s="111"/>
      <c r="P87" s="111"/>
    </row>
    <row r="88" spans="3:16" x14ac:dyDescent="0.3">
      <c r="C88" s="114"/>
      <c r="D88" s="238" t="s">
        <v>855</v>
      </c>
      <c r="E88" s="239" t="s">
        <v>0</v>
      </c>
      <c r="F88" s="240">
        <v>1</v>
      </c>
      <c r="G88" s="241">
        <v>1.1499999999999999</v>
      </c>
      <c r="H88" s="241"/>
      <c r="I88" s="241">
        <v>2.1</v>
      </c>
      <c r="J88" s="242">
        <v>1</v>
      </c>
      <c r="K88" s="237"/>
      <c r="L88" s="237">
        <f t="shared" si="6"/>
        <v>2.415</v>
      </c>
      <c r="M88" s="111"/>
      <c r="N88" s="111"/>
      <c r="O88" s="111"/>
      <c r="P88" s="111"/>
    </row>
    <row r="89" spans="3:16" x14ac:dyDescent="0.3">
      <c r="C89" s="114"/>
      <c r="D89" s="238" t="s">
        <v>856</v>
      </c>
      <c r="E89" s="239" t="s">
        <v>0</v>
      </c>
      <c r="F89" s="240">
        <v>1</v>
      </c>
      <c r="G89" s="241">
        <v>3.65</v>
      </c>
      <c r="H89" s="241"/>
      <c r="I89" s="241">
        <v>2.1</v>
      </c>
      <c r="J89" s="242">
        <v>1</v>
      </c>
      <c r="K89" s="237"/>
      <c r="L89" s="237">
        <f t="shared" si="6"/>
        <v>7.665</v>
      </c>
      <c r="M89" s="111"/>
      <c r="N89" s="111"/>
      <c r="O89" s="111"/>
      <c r="P89" s="111"/>
    </row>
    <row r="90" spans="3:16" x14ac:dyDescent="0.3">
      <c r="C90" s="114"/>
      <c r="D90" s="238" t="s">
        <v>857</v>
      </c>
      <c r="E90" s="239" t="s">
        <v>0</v>
      </c>
      <c r="F90" s="240">
        <v>1</v>
      </c>
      <c r="G90" s="241">
        <v>1.1499999999999999</v>
      </c>
      <c r="H90" s="241"/>
      <c r="I90" s="241">
        <v>2.1</v>
      </c>
      <c r="J90" s="242">
        <v>1</v>
      </c>
      <c r="K90" s="237"/>
      <c r="L90" s="237">
        <f t="shared" si="6"/>
        <v>2.415</v>
      </c>
      <c r="M90" s="111"/>
      <c r="N90" s="111"/>
      <c r="O90" s="111"/>
      <c r="P90" s="111"/>
    </row>
    <row r="91" spans="3:16" x14ac:dyDescent="0.3">
      <c r="C91" s="114"/>
      <c r="D91" s="238" t="s">
        <v>858</v>
      </c>
      <c r="E91" s="239" t="s">
        <v>0</v>
      </c>
      <c r="F91" s="240">
        <v>1</v>
      </c>
      <c r="G91" s="241">
        <v>3.65</v>
      </c>
      <c r="H91" s="241"/>
      <c r="I91" s="241">
        <v>2.1</v>
      </c>
      <c r="J91" s="242">
        <v>1</v>
      </c>
      <c r="K91" s="237"/>
      <c r="L91" s="237">
        <f t="shared" si="6"/>
        <v>7.665</v>
      </c>
      <c r="M91" s="111"/>
      <c r="N91" s="111"/>
      <c r="O91" s="111"/>
      <c r="P91" s="111"/>
    </row>
    <row r="92" spans="3:16" x14ac:dyDescent="0.3">
      <c r="C92" s="114"/>
      <c r="D92" s="238" t="s">
        <v>859</v>
      </c>
      <c r="E92" s="239" t="s">
        <v>0</v>
      </c>
      <c r="F92" s="240">
        <v>1</v>
      </c>
      <c r="G92" s="241">
        <v>1.1499999999999999</v>
      </c>
      <c r="H92" s="241"/>
      <c r="I92" s="241">
        <v>2.1</v>
      </c>
      <c r="J92" s="242">
        <v>1</v>
      </c>
      <c r="K92" s="237"/>
      <c r="L92" s="237">
        <f t="shared" si="6"/>
        <v>2.415</v>
      </c>
      <c r="M92" s="111"/>
      <c r="N92" s="111"/>
      <c r="O92" s="111"/>
      <c r="P92" s="111"/>
    </row>
    <row r="93" spans="3:16" x14ac:dyDescent="0.3">
      <c r="C93" s="106"/>
      <c r="D93" s="137" t="s">
        <v>444</v>
      </c>
      <c r="E93" s="121"/>
      <c r="F93" s="3"/>
      <c r="G93" s="122"/>
      <c r="H93" s="122"/>
      <c r="I93" s="122"/>
      <c r="J93" s="3"/>
      <c r="K93" s="113"/>
      <c r="L93" s="113"/>
      <c r="M93" s="113"/>
      <c r="N93" s="113"/>
      <c r="O93" s="113"/>
      <c r="P93" s="113"/>
    </row>
    <row r="94" spans="3:16" x14ac:dyDescent="0.3">
      <c r="C94" s="114"/>
      <c r="D94" s="238" t="s">
        <v>864</v>
      </c>
      <c r="E94" s="234" t="s">
        <v>0</v>
      </c>
      <c r="F94" s="235">
        <v>3</v>
      </c>
      <c r="G94" s="236">
        <v>1.1499999999999999</v>
      </c>
      <c r="H94" s="236"/>
      <c r="I94" s="236">
        <v>1.95</v>
      </c>
      <c r="J94" s="235">
        <v>1</v>
      </c>
      <c r="K94" s="237"/>
      <c r="L94" s="237">
        <f t="shared" ref="L94" si="7">IF(F94="","",PRODUCT(F94:J94))</f>
        <v>6.7274999999999991</v>
      </c>
      <c r="M94" s="111"/>
      <c r="N94" s="111"/>
      <c r="O94" s="111"/>
      <c r="P94" s="111"/>
    </row>
    <row r="95" spans="3:16" x14ac:dyDescent="0.3">
      <c r="C95" s="106"/>
      <c r="D95" s="140"/>
      <c r="E95" s="144"/>
      <c r="F95" s="139"/>
      <c r="G95" s="2"/>
      <c r="H95" s="2"/>
      <c r="I95" s="2"/>
      <c r="J95" s="119"/>
      <c r="K95" s="113"/>
      <c r="L95" s="113"/>
      <c r="M95" s="113"/>
      <c r="N95" s="113"/>
      <c r="O95" s="113"/>
      <c r="P95" s="113"/>
    </row>
    <row r="96" spans="3:16" x14ac:dyDescent="0.3">
      <c r="C96" s="106"/>
      <c r="D96" s="140" t="s">
        <v>68</v>
      </c>
      <c r="E96" s="144"/>
      <c r="F96" s="119"/>
      <c r="G96" s="122"/>
      <c r="H96" s="122"/>
      <c r="I96" s="122"/>
      <c r="J96" s="119"/>
      <c r="K96" s="113"/>
      <c r="L96" s="113"/>
      <c r="M96" s="113"/>
      <c r="N96" s="113"/>
      <c r="O96" s="113"/>
      <c r="P96" s="113"/>
    </row>
    <row r="97" spans="3:16" x14ac:dyDescent="0.3">
      <c r="C97" s="106"/>
      <c r="D97" s="137" t="s">
        <v>160</v>
      </c>
      <c r="E97" s="138"/>
      <c r="F97" s="139"/>
      <c r="G97" s="2"/>
      <c r="H97" s="2"/>
      <c r="I97" s="2"/>
      <c r="J97" s="119"/>
      <c r="K97" s="113"/>
      <c r="L97" s="113"/>
      <c r="M97" s="113"/>
      <c r="N97" s="113"/>
      <c r="O97" s="113"/>
      <c r="P97" s="113"/>
    </row>
    <row r="98" spans="3:16" x14ac:dyDescent="0.3">
      <c r="C98" s="114"/>
      <c r="D98" s="238" t="s">
        <v>854</v>
      </c>
      <c r="E98" s="239" t="s">
        <v>0</v>
      </c>
      <c r="F98" s="240">
        <v>1</v>
      </c>
      <c r="G98" s="241">
        <v>3.65</v>
      </c>
      <c r="H98" s="241"/>
      <c r="I98" s="241">
        <v>2.1</v>
      </c>
      <c r="J98" s="242">
        <v>1</v>
      </c>
      <c r="K98" s="237"/>
      <c r="L98" s="237">
        <f t="shared" ref="L98:L103" si="8">PRODUCT(F98:J98)</f>
        <v>7.665</v>
      </c>
      <c r="M98" s="111"/>
      <c r="N98" s="111"/>
      <c r="O98" s="111"/>
      <c r="P98" s="111"/>
    </row>
    <row r="99" spans="3:16" x14ac:dyDescent="0.3">
      <c r="C99" s="114"/>
      <c r="D99" s="238" t="s">
        <v>855</v>
      </c>
      <c r="E99" s="239" t="s">
        <v>0</v>
      </c>
      <c r="F99" s="240">
        <v>1</v>
      </c>
      <c r="G99" s="241">
        <v>1.1499999999999999</v>
      </c>
      <c r="H99" s="241"/>
      <c r="I99" s="241">
        <v>2.1</v>
      </c>
      <c r="J99" s="242">
        <v>1</v>
      </c>
      <c r="K99" s="237"/>
      <c r="L99" s="237">
        <f t="shared" si="8"/>
        <v>2.415</v>
      </c>
      <c r="M99" s="111"/>
      <c r="N99" s="111"/>
      <c r="O99" s="111"/>
      <c r="P99" s="111"/>
    </row>
    <row r="100" spans="3:16" x14ac:dyDescent="0.3">
      <c r="C100" s="114"/>
      <c r="D100" s="238" t="s">
        <v>856</v>
      </c>
      <c r="E100" s="239" t="s">
        <v>0</v>
      </c>
      <c r="F100" s="240">
        <v>1</v>
      </c>
      <c r="G100" s="241">
        <v>3.65</v>
      </c>
      <c r="H100" s="241"/>
      <c r="I100" s="241">
        <v>2.1</v>
      </c>
      <c r="J100" s="242">
        <v>1</v>
      </c>
      <c r="K100" s="237"/>
      <c r="L100" s="237">
        <f t="shared" si="8"/>
        <v>7.665</v>
      </c>
      <c r="M100" s="111"/>
      <c r="N100" s="111"/>
      <c r="O100" s="111"/>
      <c r="P100" s="111"/>
    </row>
    <row r="101" spans="3:16" x14ac:dyDescent="0.3">
      <c r="C101" s="114"/>
      <c r="D101" s="238" t="s">
        <v>857</v>
      </c>
      <c r="E101" s="239" t="s">
        <v>0</v>
      </c>
      <c r="F101" s="240">
        <v>1</v>
      </c>
      <c r="G101" s="241">
        <v>1.1499999999999999</v>
      </c>
      <c r="H101" s="241"/>
      <c r="I101" s="241">
        <v>2.1</v>
      </c>
      <c r="J101" s="242">
        <v>1</v>
      </c>
      <c r="K101" s="237"/>
      <c r="L101" s="237">
        <f t="shared" si="8"/>
        <v>2.415</v>
      </c>
      <c r="M101" s="111"/>
      <c r="N101" s="111"/>
      <c r="O101" s="111"/>
      <c r="P101" s="111"/>
    </row>
    <row r="102" spans="3:16" x14ac:dyDescent="0.3">
      <c r="C102" s="114"/>
      <c r="D102" s="238" t="s">
        <v>858</v>
      </c>
      <c r="E102" s="239" t="s">
        <v>0</v>
      </c>
      <c r="F102" s="240">
        <v>1</v>
      </c>
      <c r="G102" s="241">
        <v>3.65</v>
      </c>
      <c r="H102" s="241"/>
      <c r="I102" s="241">
        <v>2.1</v>
      </c>
      <c r="J102" s="242">
        <v>1</v>
      </c>
      <c r="K102" s="237"/>
      <c r="L102" s="237">
        <f t="shared" si="8"/>
        <v>7.665</v>
      </c>
      <c r="M102" s="111"/>
      <c r="N102" s="111"/>
      <c r="O102" s="111"/>
      <c r="P102" s="111"/>
    </row>
    <row r="103" spans="3:16" x14ac:dyDescent="0.3">
      <c r="C103" s="114"/>
      <c r="D103" s="238" t="s">
        <v>859</v>
      </c>
      <c r="E103" s="239" t="s">
        <v>0</v>
      </c>
      <c r="F103" s="240">
        <v>1</v>
      </c>
      <c r="G103" s="241">
        <v>1.1499999999999999</v>
      </c>
      <c r="H103" s="241"/>
      <c r="I103" s="241">
        <v>2.1</v>
      </c>
      <c r="J103" s="242">
        <v>1</v>
      </c>
      <c r="K103" s="237"/>
      <c r="L103" s="237">
        <f t="shared" si="8"/>
        <v>2.415</v>
      </c>
      <c r="M103" s="111"/>
      <c r="N103" s="111"/>
      <c r="O103" s="111"/>
      <c r="P103" s="111"/>
    </row>
    <row r="104" spans="3:16" x14ac:dyDescent="0.3">
      <c r="C104" s="106"/>
      <c r="D104" s="137" t="s">
        <v>444</v>
      </c>
      <c r="E104" s="121"/>
      <c r="F104" s="3"/>
      <c r="G104" s="122"/>
      <c r="H104" s="122"/>
      <c r="I104" s="122"/>
      <c r="J104" s="3"/>
      <c r="K104" s="113"/>
      <c r="L104" s="113"/>
      <c r="M104" s="113"/>
      <c r="N104" s="113"/>
      <c r="O104" s="113"/>
      <c r="P104" s="113"/>
    </row>
    <row r="105" spans="3:16" x14ac:dyDescent="0.3">
      <c r="C105" s="114"/>
      <c r="D105" s="238" t="s">
        <v>864</v>
      </c>
      <c r="E105" s="234" t="s">
        <v>0</v>
      </c>
      <c r="F105" s="235">
        <v>3</v>
      </c>
      <c r="G105" s="236">
        <v>1.1499999999999999</v>
      </c>
      <c r="H105" s="236"/>
      <c r="I105" s="236">
        <v>1.95</v>
      </c>
      <c r="J105" s="235">
        <v>1</v>
      </c>
      <c r="K105" s="237"/>
      <c r="L105" s="237">
        <f t="shared" ref="L105" si="9">IF(F105="","",PRODUCT(F105:J105))</f>
        <v>6.7274999999999991</v>
      </c>
      <c r="M105" s="111"/>
      <c r="N105" s="111"/>
      <c r="O105" s="111"/>
      <c r="P105" s="111"/>
    </row>
    <row r="106" spans="3:16" x14ac:dyDescent="0.3">
      <c r="C106" s="106"/>
      <c r="D106" s="140" t="s">
        <v>45</v>
      </c>
      <c r="E106" s="138"/>
      <c r="F106" s="139"/>
      <c r="G106" s="2"/>
      <c r="H106" s="2"/>
      <c r="I106" s="2"/>
      <c r="J106" s="119"/>
      <c r="K106" s="113"/>
      <c r="L106" s="113"/>
      <c r="M106" s="113"/>
      <c r="N106" s="113"/>
      <c r="O106" s="113"/>
      <c r="P106" s="113"/>
    </row>
    <row r="107" spans="3:16" x14ac:dyDescent="0.3">
      <c r="C107" s="106"/>
      <c r="D107" s="137" t="s">
        <v>160</v>
      </c>
      <c r="E107" s="138"/>
      <c r="F107" s="139"/>
      <c r="G107" s="2"/>
      <c r="H107" s="2"/>
      <c r="I107" s="2"/>
      <c r="J107" s="119"/>
      <c r="K107" s="113"/>
      <c r="L107" s="113"/>
      <c r="M107" s="113"/>
      <c r="N107" s="113"/>
      <c r="O107" s="113"/>
      <c r="P107" s="113"/>
    </row>
    <row r="108" spans="3:16" x14ac:dyDescent="0.3">
      <c r="C108" s="114"/>
      <c r="D108" s="238" t="s">
        <v>854</v>
      </c>
      <c r="E108" s="239" t="s">
        <v>0</v>
      </c>
      <c r="F108" s="240">
        <v>1</v>
      </c>
      <c r="G108" s="241">
        <v>3.65</v>
      </c>
      <c r="H108" s="241"/>
      <c r="I108" s="241">
        <v>2.1</v>
      </c>
      <c r="J108" s="242">
        <v>1</v>
      </c>
      <c r="K108" s="237"/>
      <c r="L108" s="237">
        <f t="shared" ref="L108:L113" si="10">PRODUCT(F108:J108)</f>
        <v>7.665</v>
      </c>
      <c r="M108" s="111"/>
      <c r="N108" s="111"/>
      <c r="O108" s="111"/>
      <c r="P108" s="111"/>
    </row>
    <row r="109" spans="3:16" x14ac:dyDescent="0.3">
      <c r="C109" s="114"/>
      <c r="D109" s="238" t="s">
        <v>855</v>
      </c>
      <c r="E109" s="239" t="s">
        <v>0</v>
      </c>
      <c r="F109" s="240">
        <v>1</v>
      </c>
      <c r="G109" s="241">
        <v>1.1499999999999999</v>
      </c>
      <c r="H109" s="241"/>
      <c r="I109" s="241">
        <v>2.1</v>
      </c>
      <c r="J109" s="242">
        <v>1</v>
      </c>
      <c r="K109" s="237"/>
      <c r="L109" s="237">
        <f t="shared" si="10"/>
        <v>2.415</v>
      </c>
      <c r="M109" s="111"/>
      <c r="N109" s="111"/>
      <c r="O109" s="111"/>
      <c r="P109" s="111"/>
    </row>
    <row r="110" spans="3:16" x14ac:dyDescent="0.3">
      <c r="C110" s="114"/>
      <c r="D110" s="238" t="s">
        <v>856</v>
      </c>
      <c r="E110" s="239" t="s">
        <v>0</v>
      </c>
      <c r="F110" s="240">
        <v>1</v>
      </c>
      <c r="G110" s="241">
        <v>3.65</v>
      </c>
      <c r="H110" s="241"/>
      <c r="I110" s="241">
        <v>2.1</v>
      </c>
      <c r="J110" s="242">
        <v>1</v>
      </c>
      <c r="K110" s="237"/>
      <c r="L110" s="237">
        <f t="shared" si="10"/>
        <v>7.665</v>
      </c>
      <c r="M110" s="111"/>
      <c r="N110" s="111"/>
      <c r="O110" s="111"/>
      <c r="P110" s="111"/>
    </row>
    <row r="111" spans="3:16" x14ac:dyDescent="0.3">
      <c r="C111" s="114"/>
      <c r="D111" s="238" t="s">
        <v>857</v>
      </c>
      <c r="E111" s="239" t="s">
        <v>0</v>
      </c>
      <c r="F111" s="240">
        <v>1</v>
      </c>
      <c r="G111" s="241">
        <v>1.1499999999999999</v>
      </c>
      <c r="H111" s="241"/>
      <c r="I111" s="241">
        <v>2.1</v>
      </c>
      <c r="J111" s="242">
        <v>1</v>
      </c>
      <c r="K111" s="237"/>
      <c r="L111" s="237">
        <f t="shared" si="10"/>
        <v>2.415</v>
      </c>
      <c r="M111" s="111"/>
      <c r="N111" s="111"/>
      <c r="O111" s="111"/>
      <c r="P111" s="111"/>
    </row>
    <row r="112" spans="3:16" x14ac:dyDescent="0.3">
      <c r="C112" s="114"/>
      <c r="D112" s="238" t="s">
        <v>858</v>
      </c>
      <c r="E112" s="239" t="s">
        <v>0</v>
      </c>
      <c r="F112" s="240">
        <v>1</v>
      </c>
      <c r="G112" s="241">
        <v>3.65</v>
      </c>
      <c r="H112" s="241"/>
      <c r="I112" s="241">
        <v>2.1</v>
      </c>
      <c r="J112" s="242">
        <v>1</v>
      </c>
      <c r="K112" s="237"/>
      <c r="L112" s="237">
        <f t="shared" si="10"/>
        <v>7.665</v>
      </c>
      <c r="M112" s="111"/>
      <c r="N112" s="111"/>
      <c r="O112" s="111"/>
      <c r="P112" s="111"/>
    </row>
    <row r="113" spans="3:16" x14ac:dyDescent="0.3">
      <c r="C113" s="114"/>
      <c r="D113" s="238" t="s">
        <v>859</v>
      </c>
      <c r="E113" s="239" t="s">
        <v>0</v>
      </c>
      <c r="F113" s="240">
        <v>1</v>
      </c>
      <c r="G113" s="241">
        <v>1.1499999999999999</v>
      </c>
      <c r="H113" s="241"/>
      <c r="I113" s="241">
        <v>2.1</v>
      </c>
      <c r="J113" s="242">
        <v>1</v>
      </c>
      <c r="K113" s="237"/>
      <c r="L113" s="237">
        <f t="shared" si="10"/>
        <v>2.415</v>
      </c>
      <c r="M113" s="111"/>
      <c r="N113" s="111"/>
      <c r="O113" s="111"/>
      <c r="P113" s="111"/>
    </row>
    <row r="114" spans="3:16" x14ac:dyDescent="0.3">
      <c r="C114" s="106"/>
      <c r="D114" s="137" t="s">
        <v>444</v>
      </c>
      <c r="E114" s="121"/>
      <c r="F114" s="3"/>
      <c r="G114" s="122"/>
      <c r="H114" s="122"/>
      <c r="I114" s="122"/>
      <c r="J114" s="3"/>
      <c r="K114" s="113"/>
      <c r="L114" s="113"/>
      <c r="M114" s="113"/>
      <c r="N114" s="113"/>
      <c r="O114" s="113"/>
      <c r="P114" s="113"/>
    </row>
    <row r="115" spans="3:16" x14ac:dyDescent="0.3">
      <c r="C115" s="114"/>
      <c r="D115" s="238" t="s">
        <v>864</v>
      </c>
      <c r="E115" s="234" t="s">
        <v>0</v>
      </c>
      <c r="F115" s="235">
        <v>3</v>
      </c>
      <c r="G115" s="236">
        <v>1.1499999999999999</v>
      </c>
      <c r="H115" s="236"/>
      <c r="I115" s="236">
        <v>1.95</v>
      </c>
      <c r="J115" s="235">
        <v>1</v>
      </c>
      <c r="K115" s="237"/>
      <c r="L115" s="237">
        <f t="shared" ref="L115" si="11">IF(F115="","",PRODUCT(F115:J115))</f>
        <v>6.7274999999999991</v>
      </c>
      <c r="M115" s="111"/>
      <c r="N115" s="111"/>
      <c r="O115" s="111"/>
      <c r="P115" s="111"/>
    </row>
    <row r="116" spans="3:16" x14ac:dyDescent="0.3">
      <c r="C116" s="114"/>
      <c r="D116" s="279"/>
      <c r="E116" s="108"/>
      <c r="F116" s="148"/>
      <c r="G116" s="149"/>
      <c r="H116" s="149"/>
      <c r="I116" s="149"/>
      <c r="J116" s="112"/>
      <c r="K116" s="111"/>
      <c r="L116" s="111"/>
      <c r="M116" s="111"/>
      <c r="N116" s="111"/>
      <c r="O116" s="111"/>
      <c r="P116" s="111"/>
    </row>
    <row r="117" spans="3:16" x14ac:dyDescent="0.3">
      <c r="C117" s="99" t="s">
        <v>1182</v>
      </c>
      <c r="D117" s="100" t="s">
        <v>520</v>
      </c>
      <c r="E117" s="132" t="s">
        <v>0</v>
      </c>
      <c r="F117" s="136"/>
      <c r="G117" s="2"/>
      <c r="H117" s="2"/>
      <c r="I117" s="2"/>
      <c r="J117" s="102"/>
      <c r="K117" s="103"/>
      <c r="L117" s="103"/>
      <c r="M117" s="103"/>
      <c r="N117" s="103"/>
      <c r="O117" s="103"/>
      <c r="P117" s="103">
        <f>SUM(L118:L201)</f>
        <v>507.18049999999965</v>
      </c>
    </row>
    <row r="118" spans="3:16" x14ac:dyDescent="0.3">
      <c r="C118" s="106"/>
      <c r="D118" s="120" t="s">
        <v>127</v>
      </c>
      <c r="E118" s="144"/>
      <c r="F118" s="119"/>
      <c r="G118" s="122" t="s">
        <v>198</v>
      </c>
      <c r="H118" s="122"/>
      <c r="I118" s="122"/>
      <c r="J118" s="119"/>
      <c r="K118" s="113"/>
      <c r="L118" s="113"/>
      <c r="M118" s="113"/>
      <c r="N118" s="113"/>
      <c r="O118" s="113"/>
      <c r="P118" s="113"/>
    </row>
    <row r="119" spans="3:16" x14ac:dyDescent="0.3">
      <c r="C119" s="114"/>
      <c r="D119" s="258" t="s">
        <v>869</v>
      </c>
      <c r="E119" s="239" t="s">
        <v>0</v>
      </c>
      <c r="F119" s="242">
        <v>1</v>
      </c>
      <c r="G119" s="236">
        <v>1.79</v>
      </c>
      <c r="H119" s="236">
        <v>2.95</v>
      </c>
      <c r="I119" s="236"/>
      <c r="J119" s="242">
        <v>1</v>
      </c>
      <c r="K119" s="237"/>
      <c r="L119" s="237">
        <f t="shared" ref="L119:L120" si="12">IF(F119="","",PRODUCT(F119:J119))</f>
        <v>5.2805000000000009</v>
      </c>
      <c r="M119" s="111"/>
      <c r="N119" s="111"/>
      <c r="O119" s="111"/>
      <c r="P119" s="111"/>
    </row>
    <row r="120" spans="3:16" x14ac:dyDescent="0.3">
      <c r="C120" s="114"/>
      <c r="D120" s="258" t="s">
        <v>870</v>
      </c>
      <c r="E120" s="239" t="s">
        <v>0</v>
      </c>
      <c r="F120" s="280">
        <v>1</v>
      </c>
      <c r="G120" s="280">
        <v>1.59</v>
      </c>
      <c r="H120" s="236">
        <v>2.95</v>
      </c>
      <c r="I120" s="236"/>
      <c r="J120" s="242">
        <v>1</v>
      </c>
      <c r="K120" s="237"/>
      <c r="L120" s="237">
        <f t="shared" si="12"/>
        <v>4.6905000000000001</v>
      </c>
      <c r="M120" s="111"/>
      <c r="N120" s="111"/>
      <c r="O120" s="111"/>
      <c r="P120" s="111"/>
    </row>
    <row r="121" spans="3:16" x14ac:dyDescent="0.3">
      <c r="C121" s="114"/>
      <c r="D121" s="258" t="s">
        <v>871</v>
      </c>
      <c r="E121" s="239" t="s">
        <v>0</v>
      </c>
      <c r="F121" s="242">
        <v>1</v>
      </c>
      <c r="G121" s="236">
        <f>1.97+1.76</f>
        <v>3.73</v>
      </c>
      <c r="H121" s="236">
        <v>2.95</v>
      </c>
      <c r="I121" s="236"/>
      <c r="J121" s="242">
        <v>1</v>
      </c>
      <c r="K121" s="237"/>
      <c r="L121" s="237">
        <f>IF(F121="","",PRODUCT(F121:J121))</f>
        <v>11.003500000000001</v>
      </c>
      <c r="M121" s="111"/>
      <c r="N121" s="111"/>
      <c r="O121" s="111"/>
      <c r="P121" s="111"/>
    </row>
    <row r="122" spans="3:16" x14ac:dyDescent="0.3">
      <c r="C122" s="114"/>
      <c r="D122" s="258" t="s">
        <v>872</v>
      </c>
      <c r="E122" s="239" t="s">
        <v>0</v>
      </c>
      <c r="F122" s="280">
        <v>1</v>
      </c>
      <c r="G122" s="280">
        <v>1.59</v>
      </c>
      <c r="H122" s="236">
        <v>2.95</v>
      </c>
      <c r="I122" s="236"/>
      <c r="J122" s="242">
        <v>1</v>
      </c>
      <c r="K122" s="237"/>
      <c r="L122" s="237">
        <f t="shared" ref="L122" si="13">IF(F122="","",PRODUCT(F122:J122))</f>
        <v>4.6905000000000001</v>
      </c>
      <c r="M122" s="111"/>
      <c r="N122" s="111"/>
      <c r="O122" s="111"/>
      <c r="P122" s="111"/>
    </row>
    <row r="123" spans="3:16" x14ac:dyDescent="0.3">
      <c r="C123" s="114"/>
      <c r="D123" s="258" t="s">
        <v>873</v>
      </c>
      <c r="E123" s="239" t="s">
        <v>0</v>
      </c>
      <c r="F123" s="242">
        <v>1</v>
      </c>
      <c r="G123" s="236">
        <f>1.97+1.76</f>
        <v>3.73</v>
      </c>
      <c r="H123" s="236">
        <v>2.95</v>
      </c>
      <c r="I123" s="236"/>
      <c r="J123" s="242">
        <v>1</v>
      </c>
      <c r="K123" s="237"/>
      <c r="L123" s="237">
        <f>IF(F123="","",PRODUCT(F123:J123))</f>
        <v>11.003500000000001</v>
      </c>
      <c r="M123" s="111"/>
      <c r="N123" s="111"/>
      <c r="O123" s="111"/>
      <c r="P123" s="111"/>
    </row>
    <row r="124" spans="3:16" x14ac:dyDescent="0.3">
      <c r="C124" s="114"/>
      <c r="D124" s="258" t="s">
        <v>874</v>
      </c>
      <c r="E124" s="239" t="s">
        <v>0</v>
      </c>
      <c r="F124" s="280">
        <v>1</v>
      </c>
      <c r="G124" s="280">
        <v>1.59</v>
      </c>
      <c r="H124" s="236">
        <v>2.95</v>
      </c>
      <c r="I124" s="236"/>
      <c r="J124" s="242">
        <v>1</v>
      </c>
      <c r="K124" s="237"/>
      <c r="L124" s="237">
        <f t="shared" ref="L124:L126" si="14">IF(F124="","",PRODUCT(F124:J124))</f>
        <v>4.6905000000000001</v>
      </c>
      <c r="M124" s="111"/>
      <c r="N124" s="111"/>
      <c r="O124" s="111"/>
      <c r="P124" s="111"/>
    </row>
    <row r="125" spans="3:16" x14ac:dyDescent="0.3">
      <c r="C125" s="114"/>
      <c r="D125" s="258" t="s">
        <v>875</v>
      </c>
      <c r="E125" s="239" t="s">
        <v>0</v>
      </c>
      <c r="F125" s="242">
        <v>1</v>
      </c>
      <c r="G125" s="236">
        <v>2</v>
      </c>
      <c r="H125" s="236">
        <v>2.95</v>
      </c>
      <c r="I125" s="236"/>
      <c r="J125" s="242">
        <v>1</v>
      </c>
      <c r="K125" s="237"/>
      <c r="L125" s="237">
        <f t="shared" si="14"/>
        <v>5.9</v>
      </c>
      <c r="M125" s="111"/>
      <c r="N125" s="111"/>
      <c r="O125" s="111"/>
      <c r="P125" s="111"/>
    </row>
    <row r="126" spans="3:16" x14ac:dyDescent="0.3">
      <c r="C126" s="114"/>
      <c r="D126" s="258" t="s">
        <v>876</v>
      </c>
      <c r="E126" s="239" t="s">
        <v>0</v>
      </c>
      <c r="F126" s="242">
        <v>1</v>
      </c>
      <c r="G126" s="236">
        <v>0.55000000000000004</v>
      </c>
      <c r="H126" s="236">
        <v>2.95</v>
      </c>
      <c r="I126" s="236"/>
      <c r="J126" s="242">
        <v>1</v>
      </c>
      <c r="K126" s="237"/>
      <c r="L126" s="237">
        <f t="shared" si="14"/>
        <v>1.6225000000000003</v>
      </c>
      <c r="M126" s="111"/>
      <c r="N126" s="111"/>
      <c r="O126" s="111"/>
      <c r="P126" s="111"/>
    </row>
    <row r="127" spans="3:16" x14ac:dyDescent="0.3">
      <c r="C127" s="114"/>
      <c r="D127" s="258" t="s">
        <v>877</v>
      </c>
      <c r="E127" s="239" t="s">
        <v>0</v>
      </c>
      <c r="F127" s="242">
        <v>1</v>
      </c>
      <c r="G127" s="236">
        <v>0.7</v>
      </c>
      <c r="H127" s="236">
        <v>2.95</v>
      </c>
      <c r="I127" s="236"/>
      <c r="J127" s="242">
        <v>1</v>
      </c>
      <c r="K127" s="237"/>
      <c r="L127" s="237">
        <f>IF(F127="","",PRODUCT(F127:J127))</f>
        <v>2.0649999999999999</v>
      </c>
      <c r="M127" s="111"/>
      <c r="N127" s="111"/>
      <c r="O127" s="111"/>
      <c r="P127" s="111"/>
    </row>
    <row r="128" spans="3:16" x14ac:dyDescent="0.3">
      <c r="C128" s="114"/>
      <c r="D128" s="258" t="s">
        <v>878</v>
      </c>
      <c r="E128" s="239" t="s">
        <v>0</v>
      </c>
      <c r="F128" s="242">
        <v>1</v>
      </c>
      <c r="G128" s="236">
        <v>1.55</v>
      </c>
      <c r="H128" s="236">
        <v>2.95</v>
      </c>
      <c r="I128" s="236"/>
      <c r="J128" s="242">
        <v>1</v>
      </c>
      <c r="K128" s="237"/>
      <c r="L128" s="237">
        <f t="shared" ref="L128" si="15">IF(F128="","",PRODUCT(F128:J128))</f>
        <v>4.5725000000000007</v>
      </c>
      <c r="M128" s="111"/>
      <c r="N128" s="111"/>
      <c r="O128" s="111"/>
      <c r="P128" s="111"/>
    </row>
    <row r="129" spans="3:16" x14ac:dyDescent="0.3">
      <c r="C129" s="114"/>
      <c r="D129" s="258" t="s">
        <v>879</v>
      </c>
      <c r="E129" s="239" t="s">
        <v>0</v>
      </c>
      <c r="F129" s="242">
        <v>1</v>
      </c>
      <c r="G129" s="236">
        <v>0.95</v>
      </c>
      <c r="H129" s="236">
        <v>2.95</v>
      </c>
      <c r="I129" s="236"/>
      <c r="J129" s="242">
        <v>1</v>
      </c>
      <c r="K129" s="237"/>
      <c r="L129" s="237">
        <f>IF(F129="","",PRODUCT(F129:J129))</f>
        <v>2.8025000000000002</v>
      </c>
      <c r="M129" s="111"/>
      <c r="N129" s="111"/>
      <c r="O129" s="111"/>
      <c r="P129" s="111"/>
    </row>
    <row r="130" spans="3:16" x14ac:dyDescent="0.3">
      <c r="C130" s="114"/>
      <c r="D130" s="258" t="s">
        <v>880</v>
      </c>
      <c r="E130" s="239" t="s">
        <v>0</v>
      </c>
      <c r="F130" s="242">
        <v>1</v>
      </c>
      <c r="G130" s="236">
        <f>2.67+2.42</f>
        <v>5.09</v>
      </c>
      <c r="H130" s="236">
        <v>2.95</v>
      </c>
      <c r="I130" s="236"/>
      <c r="J130" s="242">
        <v>1</v>
      </c>
      <c r="K130" s="237"/>
      <c r="L130" s="237">
        <f t="shared" ref="L130" si="16">IF(F130="","",PRODUCT(F130:J130))</f>
        <v>15.015500000000001</v>
      </c>
      <c r="M130" s="111"/>
      <c r="N130" s="111"/>
      <c r="O130" s="111"/>
      <c r="P130" s="111"/>
    </row>
    <row r="131" spans="3:16" x14ac:dyDescent="0.3">
      <c r="C131" s="114"/>
      <c r="D131" s="258" t="s">
        <v>881</v>
      </c>
      <c r="E131" s="239" t="s">
        <v>0</v>
      </c>
      <c r="F131" s="242">
        <v>1</v>
      </c>
      <c r="G131" s="236">
        <v>1.1000000000000001</v>
      </c>
      <c r="H131" s="236">
        <v>2.95</v>
      </c>
      <c r="I131" s="236"/>
      <c r="J131" s="242">
        <v>1</v>
      </c>
      <c r="K131" s="237"/>
      <c r="L131" s="237">
        <f>IF(F131="","",PRODUCT(F131:J131))</f>
        <v>3.2450000000000006</v>
      </c>
      <c r="M131" s="111"/>
      <c r="N131" s="111"/>
      <c r="O131" s="111"/>
      <c r="P131" s="111"/>
    </row>
    <row r="132" spans="3:16" x14ac:dyDescent="0.3">
      <c r="C132" s="114"/>
      <c r="D132" s="258" t="s">
        <v>882</v>
      </c>
      <c r="E132" s="239" t="s">
        <v>0</v>
      </c>
      <c r="F132" s="242">
        <v>1</v>
      </c>
      <c r="G132" s="236">
        <v>1.55</v>
      </c>
      <c r="H132" s="236">
        <v>2.95</v>
      </c>
      <c r="I132" s="236"/>
      <c r="J132" s="242">
        <v>1</v>
      </c>
      <c r="K132" s="237"/>
      <c r="L132" s="237">
        <f t="shared" ref="L132" si="17">IF(F132="","",PRODUCT(F132:J132))</f>
        <v>4.5725000000000007</v>
      </c>
      <c r="M132" s="111"/>
      <c r="N132" s="111"/>
      <c r="O132" s="111"/>
      <c r="P132" s="111"/>
    </row>
    <row r="133" spans="3:16" x14ac:dyDescent="0.3">
      <c r="C133" s="114"/>
      <c r="D133" s="258" t="s">
        <v>883</v>
      </c>
      <c r="E133" s="239" t="s">
        <v>0</v>
      </c>
      <c r="F133" s="242">
        <v>1</v>
      </c>
      <c r="G133" s="236">
        <v>0.95</v>
      </c>
      <c r="H133" s="236">
        <v>2.95</v>
      </c>
      <c r="I133" s="236"/>
      <c r="J133" s="242">
        <v>1</v>
      </c>
      <c r="K133" s="237"/>
      <c r="L133" s="237">
        <f>IF(F133="","",PRODUCT(F133:J133))</f>
        <v>2.8025000000000002</v>
      </c>
      <c r="M133" s="111"/>
      <c r="N133" s="111"/>
      <c r="O133" s="111"/>
      <c r="P133" s="111"/>
    </row>
    <row r="134" spans="3:16" x14ac:dyDescent="0.3">
      <c r="C134" s="114"/>
      <c r="D134" s="258" t="s">
        <v>884</v>
      </c>
      <c r="E134" s="239" t="s">
        <v>0</v>
      </c>
      <c r="F134" s="242">
        <v>1</v>
      </c>
      <c r="G134" s="236">
        <f>2.67+2.42</f>
        <v>5.09</v>
      </c>
      <c r="H134" s="236">
        <v>2.95</v>
      </c>
      <c r="I134" s="236"/>
      <c r="J134" s="242">
        <v>1</v>
      </c>
      <c r="K134" s="237"/>
      <c r="L134" s="237">
        <f t="shared" ref="L134" si="18">IF(F134="","",PRODUCT(F134:J134))</f>
        <v>15.015500000000001</v>
      </c>
      <c r="M134" s="111"/>
      <c r="N134" s="111"/>
      <c r="O134" s="111"/>
      <c r="P134" s="111"/>
    </row>
    <row r="135" spans="3:16" x14ac:dyDescent="0.3">
      <c r="C135" s="114"/>
      <c r="D135" s="258" t="s">
        <v>885</v>
      </c>
      <c r="E135" s="239" t="s">
        <v>0</v>
      </c>
      <c r="F135" s="242">
        <v>1</v>
      </c>
      <c r="G135" s="236">
        <v>1.1000000000000001</v>
      </c>
      <c r="H135" s="236">
        <v>2.95</v>
      </c>
      <c r="I135" s="236"/>
      <c r="J135" s="242">
        <v>1</v>
      </c>
      <c r="K135" s="237"/>
      <c r="L135" s="237">
        <f>IF(F135="","",PRODUCT(F135:J135))</f>
        <v>3.2450000000000006</v>
      </c>
      <c r="M135" s="111"/>
      <c r="N135" s="111"/>
      <c r="O135" s="111"/>
      <c r="P135" s="111"/>
    </row>
    <row r="136" spans="3:16" x14ac:dyDescent="0.3">
      <c r="C136" s="114"/>
      <c r="D136" s="258" t="s">
        <v>886</v>
      </c>
      <c r="E136" s="239" t="s">
        <v>0</v>
      </c>
      <c r="F136" s="242">
        <v>1</v>
      </c>
      <c r="G136" s="236">
        <v>1.55</v>
      </c>
      <c r="H136" s="236">
        <v>2.95</v>
      </c>
      <c r="I136" s="236"/>
      <c r="J136" s="242">
        <v>1</v>
      </c>
      <c r="K136" s="237"/>
      <c r="L136" s="237">
        <f t="shared" ref="L136" si="19">IF(F136="","",PRODUCT(F136:J136))</f>
        <v>4.5725000000000007</v>
      </c>
      <c r="M136" s="111"/>
      <c r="N136" s="111"/>
      <c r="O136" s="111"/>
      <c r="P136" s="111"/>
    </row>
    <row r="137" spans="3:16" x14ac:dyDescent="0.3">
      <c r="C137" s="114"/>
      <c r="D137" s="258" t="s">
        <v>887</v>
      </c>
      <c r="E137" s="239" t="s">
        <v>0</v>
      </c>
      <c r="F137" s="242">
        <v>1</v>
      </c>
      <c r="G137" s="236">
        <v>0.95</v>
      </c>
      <c r="H137" s="236">
        <v>2.95</v>
      </c>
      <c r="I137" s="236"/>
      <c r="J137" s="242">
        <v>1</v>
      </c>
      <c r="K137" s="237"/>
      <c r="L137" s="237">
        <f>IF(F137="","",PRODUCT(F137:J137))</f>
        <v>2.8025000000000002</v>
      </c>
      <c r="M137" s="111"/>
      <c r="N137" s="111"/>
      <c r="O137" s="111"/>
      <c r="P137" s="111"/>
    </row>
    <row r="138" spans="3:16" x14ac:dyDescent="0.3">
      <c r="C138" s="114"/>
      <c r="D138" s="258" t="s">
        <v>888</v>
      </c>
      <c r="E138" s="239" t="s">
        <v>0</v>
      </c>
      <c r="F138" s="242">
        <v>1</v>
      </c>
      <c r="G138" s="236">
        <v>2.7</v>
      </c>
      <c r="H138" s="236">
        <v>2.95</v>
      </c>
      <c r="I138" s="236"/>
      <c r="J138" s="242">
        <v>1</v>
      </c>
      <c r="K138" s="237"/>
      <c r="L138" s="237">
        <f t="shared" ref="L138:L142" si="20">IF(F138="","",PRODUCT(F138:J138))</f>
        <v>7.9650000000000007</v>
      </c>
      <c r="M138" s="111"/>
      <c r="N138" s="111"/>
      <c r="O138" s="111"/>
      <c r="P138" s="111"/>
    </row>
    <row r="139" spans="3:16" x14ac:dyDescent="0.3">
      <c r="C139" s="114"/>
      <c r="D139" s="258" t="s">
        <v>889</v>
      </c>
      <c r="E139" s="239" t="s">
        <v>0</v>
      </c>
      <c r="F139" s="242">
        <v>1</v>
      </c>
      <c r="G139" s="236">
        <v>0.7</v>
      </c>
      <c r="H139" s="236">
        <v>2.95</v>
      </c>
      <c r="I139" s="236"/>
      <c r="J139" s="242">
        <v>1</v>
      </c>
      <c r="K139" s="237"/>
      <c r="L139" s="237">
        <f t="shared" si="20"/>
        <v>2.0649999999999999</v>
      </c>
      <c r="M139" s="111"/>
      <c r="N139" s="111"/>
      <c r="O139" s="111"/>
      <c r="P139" s="111"/>
    </row>
    <row r="140" spans="3:16" x14ac:dyDescent="0.3">
      <c r="C140" s="114"/>
      <c r="D140" s="258" t="s">
        <v>890</v>
      </c>
      <c r="E140" s="239" t="s">
        <v>0</v>
      </c>
      <c r="F140" s="242">
        <v>1</v>
      </c>
      <c r="G140" s="236">
        <v>0.6</v>
      </c>
      <c r="H140" s="236">
        <v>2.95</v>
      </c>
      <c r="I140" s="236"/>
      <c r="J140" s="242">
        <v>1</v>
      </c>
      <c r="K140" s="237"/>
      <c r="L140" s="237">
        <f t="shared" si="20"/>
        <v>1.77</v>
      </c>
      <c r="M140" s="111"/>
      <c r="N140" s="111"/>
      <c r="O140" s="111"/>
      <c r="P140" s="111"/>
    </row>
    <row r="141" spans="3:16" x14ac:dyDescent="0.3">
      <c r="C141" s="114"/>
      <c r="D141" s="258" t="s">
        <v>891</v>
      </c>
      <c r="E141" s="239" t="s">
        <v>0</v>
      </c>
      <c r="F141" s="242">
        <v>11</v>
      </c>
      <c r="G141" s="236">
        <v>0.95</v>
      </c>
      <c r="H141" s="236">
        <v>2.95</v>
      </c>
      <c r="I141" s="236"/>
      <c r="J141" s="242">
        <v>1</v>
      </c>
      <c r="K141" s="237"/>
      <c r="L141" s="237">
        <f t="shared" si="20"/>
        <v>30.827500000000001</v>
      </c>
      <c r="M141" s="111"/>
      <c r="N141" s="111"/>
      <c r="O141" s="111"/>
      <c r="P141" s="111"/>
    </row>
    <row r="142" spans="3:16" x14ac:dyDescent="0.3">
      <c r="C142" s="114"/>
      <c r="D142" s="258" t="s">
        <v>892</v>
      </c>
      <c r="E142" s="239" t="s">
        <v>0</v>
      </c>
      <c r="F142" s="242">
        <v>1</v>
      </c>
      <c r="G142" s="236">
        <v>0.6</v>
      </c>
      <c r="H142" s="236">
        <v>2.95</v>
      </c>
      <c r="I142" s="236"/>
      <c r="J142" s="242">
        <v>1</v>
      </c>
      <c r="K142" s="237"/>
      <c r="L142" s="237">
        <f t="shared" si="20"/>
        <v>1.77</v>
      </c>
      <c r="M142" s="111"/>
      <c r="N142" s="111"/>
      <c r="O142" s="111"/>
      <c r="P142" s="111"/>
    </row>
    <row r="143" spans="3:16" x14ac:dyDescent="0.3">
      <c r="C143" s="106"/>
      <c r="D143" s="120" t="s">
        <v>68</v>
      </c>
      <c r="E143" s="144"/>
      <c r="F143" s="119"/>
      <c r="G143" s="122" t="s">
        <v>198</v>
      </c>
      <c r="H143" s="122"/>
      <c r="I143" s="122"/>
      <c r="J143" s="119"/>
      <c r="K143" s="113"/>
      <c r="L143" s="113"/>
      <c r="M143" s="113"/>
      <c r="N143" s="113"/>
      <c r="O143" s="113"/>
      <c r="P143" s="113"/>
    </row>
    <row r="144" spans="3:16" x14ac:dyDescent="0.3">
      <c r="C144" s="114"/>
      <c r="D144" s="258" t="s">
        <v>869</v>
      </c>
      <c r="E144" s="239" t="s">
        <v>0</v>
      </c>
      <c r="F144" s="242">
        <v>1</v>
      </c>
      <c r="G144" s="236">
        <v>1.79</v>
      </c>
      <c r="H144" s="236">
        <v>2.95</v>
      </c>
      <c r="I144" s="236"/>
      <c r="J144" s="242">
        <v>1</v>
      </c>
      <c r="K144" s="237"/>
      <c r="L144" s="237">
        <f t="shared" ref="L144:L145" si="21">IF(F144="","",PRODUCT(F144:J144))</f>
        <v>5.2805000000000009</v>
      </c>
      <c r="M144" s="111"/>
      <c r="N144" s="111"/>
      <c r="O144" s="111"/>
      <c r="P144" s="111"/>
    </row>
    <row r="145" spans="3:16" x14ac:dyDescent="0.3">
      <c r="C145" s="114"/>
      <c r="D145" s="258" t="s">
        <v>870</v>
      </c>
      <c r="E145" s="239" t="s">
        <v>0</v>
      </c>
      <c r="F145" s="280">
        <v>1</v>
      </c>
      <c r="G145" s="280">
        <v>1.59</v>
      </c>
      <c r="H145" s="236">
        <v>2.95</v>
      </c>
      <c r="I145" s="236"/>
      <c r="J145" s="242">
        <v>1</v>
      </c>
      <c r="K145" s="237"/>
      <c r="L145" s="237">
        <f t="shared" si="21"/>
        <v>4.6905000000000001</v>
      </c>
      <c r="M145" s="111"/>
      <c r="N145" s="111"/>
      <c r="O145" s="111"/>
      <c r="P145" s="111"/>
    </row>
    <row r="146" spans="3:16" x14ac:dyDescent="0.3">
      <c r="C146" s="114"/>
      <c r="D146" s="258" t="s">
        <v>871</v>
      </c>
      <c r="E146" s="239" t="s">
        <v>0</v>
      </c>
      <c r="F146" s="242">
        <v>1</v>
      </c>
      <c r="G146" s="236">
        <f>1.97+1.76</f>
        <v>3.73</v>
      </c>
      <c r="H146" s="236">
        <v>2.95</v>
      </c>
      <c r="I146" s="236"/>
      <c r="J146" s="242">
        <v>1</v>
      </c>
      <c r="K146" s="237"/>
      <c r="L146" s="237">
        <f>IF(F146="","",PRODUCT(F146:J146))</f>
        <v>11.003500000000001</v>
      </c>
      <c r="M146" s="111"/>
      <c r="N146" s="111"/>
      <c r="O146" s="111"/>
      <c r="P146" s="111"/>
    </row>
    <row r="147" spans="3:16" x14ac:dyDescent="0.3">
      <c r="C147" s="114"/>
      <c r="D147" s="258" t="s">
        <v>872</v>
      </c>
      <c r="E147" s="239" t="s">
        <v>0</v>
      </c>
      <c r="F147" s="280">
        <v>1</v>
      </c>
      <c r="G147" s="280">
        <v>1.59</v>
      </c>
      <c r="H147" s="236">
        <v>2.95</v>
      </c>
      <c r="I147" s="236"/>
      <c r="J147" s="242">
        <v>1</v>
      </c>
      <c r="K147" s="237"/>
      <c r="L147" s="237">
        <f t="shared" ref="L147" si="22">IF(F147="","",PRODUCT(F147:J147))</f>
        <v>4.6905000000000001</v>
      </c>
      <c r="M147" s="111"/>
      <c r="N147" s="111"/>
      <c r="O147" s="111"/>
      <c r="P147" s="111"/>
    </row>
    <row r="148" spans="3:16" x14ac:dyDescent="0.3">
      <c r="C148" s="114"/>
      <c r="D148" s="258" t="s">
        <v>873</v>
      </c>
      <c r="E148" s="239" t="s">
        <v>0</v>
      </c>
      <c r="F148" s="242">
        <v>1</v>
      </c>
      <c r="G148" s="236">
        <f>1.97+1.76</f>
        <v>3.73</v>
      </c>
      <c r="H148" s="236">
        <v>2.95</v>
      </c>
      <c r="I148" s="236"/>
      <c r="J148" s="242">
        <v>1</v>
      </c>
      <c r="K148" s="237"/>
      <c r="L148" s="237">
        <f>IF(F148="","",PRODUCT(F148:J148))</f>
        <v>11.003500000000001</v>
      </c>
      <c r="M148" s="111"/>
      <c r="N148" s="111"/>
      <c r="O148" s="111"/>
      <c r="P148" s="111"/>
    </row>
    <row r="149" spans="3:16" x14ac:dyDescent="0.3">
      <c r="C149" s="114"/>
      <c r="D149" s="258" t="s">
        <v>874</v>
      </c>
      <c r="E149" s="239" t="s">
        <v>0</v>
      </c>
      <c r="F149" s="280">
        <v>1</v>
      </c>
      <c r="G149" s="280">
        <v>1.59</v>
      </c>
      <c r="H149" s="236">
        <v>2.95</v>
      </c>
      <c r="I149" s="236"/>
      <c r="J149" s="242">
        <v>1</v>
      </c>
      <c r="K149" s="237"/>
      <c r="L149" s="237">
        <f t="shared" ref="L149:L151" si="23">IF(F149="","",PRODUCT(F149:J149))</f>
        <v>4.6905000000000001</v>
      </c>
      <c r="M149" s="111"/>
      <c r="N149" s="111"/>
      <c r="O149" s="111"/>
      <c r="P149" s="111"/>
    </row>
    <row r="150" spans="3:16" x14ac:dyDescent="0.3">
      <c r="C150" s="114"/>
      <c r="D150" s="258" t="s">
        <v>875</v>
      </c>
      <c r="E150" s="239" t="s">
        <v>0</v>
      </c>
      <c r="F150" s="242">
        <v>1</v>
      </c>
      <c r="G150" s="236">
        <v>2</v>
      </c>
      <c r="H150" s="236">
        <v>2.95</v>
      </c>
      <c r="I150" s="236"/>
      <c r="J150" s="242">
        <v>1</v>
      </c>
      <c r="K150" s="237"/>
      <c r="L150" s="237">
        <f t="shared" si="23"/>
        <v>5.9</v>
      </c>
      <c r="M150" s="111"/>
      <c r="N150" s="111"/>
      <c r="O150" s="111"/>
      <c r="P150" s="111"/>
    </row>
    <row r="151" spans="3:16" x14ac:dyDescent="0.3">
      <c r="C151" s="114"/>
      <c r="D151" s="258" t="s">
        <v>876</v>
      </c>
      <c r="E151" s="239" t="s">
        <v>0</v>
      </c>
      <c r="F151" s="242">
        <v>1</v>
      </c>
      <c r="G151" s="236">
        <v>0.55000000000000004</v>
      </c>
      <c r="H151" s="236">
        <v>2.95</v>
      </c>
      <c r="I151" s="236"/>
      <c r="J151" s="242">
        <v>1</v>
      </c>
      <c r="K151" s="237"/>
      <c r="L151" s="237">
        <f t="shared" si="23"/>
        <v>1.6225000000000003</v>
      </c>
      <c r="M151" s="111"/>
      <c r="N151" s="111"/>
      <c r="O151" s="111"/>
      <c r="P151" s="111"/>
    </row>
    <row r="152" spans="3:16" x14ac:dyDescent="0.3">
      <c r="C152" s="114"/>
      <c r="D152" s="258" t="s">
        <v>877</v>
      </c>
      <c r="E152" s="239" t="s">
        <v>0</v>
      </c>
      <c r="F152" s="242">
        <v>1</v>
      </c>
      <c r="G152" s="236">
        <v>0.7</v>
      </c>
      <c r="H152" s="236">
        <v>2.95</v>
      </c>
      <c r="I152" s="236"/>
      <c r="J152" s="242">
        <v>1</v>
      </c>
      <c r="K152" s="237"/>
      <c r="L152" s="237">
        <f>IF(F152="","",PRODUCT(F152:J152))</f>
        <v>2.0649999999999999</v>
      </c>
      <c r="M152" s="111"/>
      <c r="N152" s="111"/>
      <c r="O152" s="111"/>
      <c r="P152" s="111"/>
    </row>
    <row r="153" spans="3:16" x14ac:dyDescent="0.3">
      <c r="C153" s="114"/>
      <c r="D153" s="258" t="s">
        <v>878</v>
      </c>
      <c r="E153" s="239" t="s">
        <v>0</v>
      </c>
      <c r="F153" s="242">
        <v>1</v>
      </c>
      <c r="G153" s="236">
        <v>1.55</v>
      </c>
      <c r="H153" s="236">
        <v>2.95</v>
      </c>
      <c r="I153" s="236"/>
      <c r="J153" s="242">
        <v>1</v>
      </c>
      <c r="K153" s="237"/>
      <c r="L153" s="237">
        <f t="shared" ref="L153" si="24">IF(F153="","",PRODUCT(F153:J153))</f>
        <v>4.5725000000000007</v>
      </c>
      <c r="M153" s="111"/>
      <c r="N153" s="111"/>
      <c r="O153" s="111"/>
      <c r="P153" s="111"/>
    </row>
    <row r="154" spans="3:16" x14ac:dyDescent="0.3">
      <c r="C154" s="114"/>
      <c r="D154" s="258" t="s">
        <v>879</v>
      </c>
      <c r="E154" s="239" t="s">
        <v>0</v>
      </c>
      <c r="F154" s="242">
        <v>1</v>
      </c>
      <c r="G154" s="236">
        <v>0.95</v>
      </c>
      <c r="H154" s="236">
        <v>2.95</v>
      </c>
      <c r="I154" s="236"/>
      <c r="J154" s="242">
        <v>1</v>
      </c>
      <c r="K154" s="237"/>
      <c r="L154" s="237">
        <f>IF(F154="","",PRODUCT(F154:J154))</f>
        <v>2.8025000000000002</v>
      </c>
      <c r="M154" s="111"/>
      <c r="N154" s="111"/>
      <c r="O154" s="111"/>
      <c r="P154" s="111"/>
    </row>
    <row r="155" spans="3:16" x14ac:dyDescent="0.3">
      <c r="C155" s="114"/>
      <c r="D155" s="258" t="s">
        <v>880</v>
      </c>
      <c r="E155" s="239" t="s">
        <v>0</v>
      </c>
      <c r="F155" s="242">
        <v>1</v>
      </c>
      <c r="G155" s="236">
        <f>2.67+2.42</f>
        <v>5.09</v>
      </c>
      <c r="H155" s="236">
        <v>2.95</v>
      </c>
      <c r="I155" s="236"/>
      <c r="J155" s="242">
        <v>1</v>
      </c>
      <c r="K155" s="237"/>
      <c r="L155" s="237">
        <f t="shared" ref="L155" si="25">IF(F155="","",PRODUCT(F155:J155))</f>
        <v>15.015500000000001</v>
      </c>
      <c r="M155" s="111"/>
      <c r="N155" s="111"/>
      <c r="O155" s="111"/>
      <c r="P155" s="111"/>
    </row>
    <row r="156" spans="3:16" x14ac:dyDescent="0.3">
      <c r="C156" s="114"/>
      <c r="D156" s="258" t="s">
        <v>881</v>
      </c>
      <c r="E156" s="239" t="s">
        <v>0</v>
      </c>
      <c r="F156" s="242">
        <v>1</v>
      </c>
      <c r="G156" s="236">
        <v>1.1000000000000001</v>
      </c>
      <c r="H156" s="236">
        <v>2.95</v>
      </c>
      <c r="I156" s="236"/>
      <c r="J156" s="242">
        <v>1</v>
      </c>
      <c r="K156" s="237"/>
      <c r="L156" s="237">
        <f>IF(F156="","",PRODUCT(F156:J156))</f>
        <v>3.2450000000000006</v>
      </c>
      <c r="M156" s="111"/>
      <c r="N156" s="111"/>
      <c r="O156" s="111"/>
      <c r="P156" s="111"/>
    </row>
    <row r="157" spans="3:16" x14ac:dyDescent="0.3">
      <c r="C157" s="114"/>
      <c r="D157" s="258" t="s">
        <v>882</v>
      </c>
      <c r="E157" s="239" t="s">
        <v>0</v>
      </c>
      <c r="F157" s="242">
        <v>1</v>
      </c>
      <c r="G157" s="236">
        <v>1.55</v>
      </c>
      <c r="H157" s="236">
        <v>2.95</v>
      </c>
      <c r="I157" s="236"/>
      <c r="J157" s="242">
        <v>1</v>
      </c>
      <c r="K157" s="237"/>
      <c r="L157" s="237">
        <f t="shared" ref="L157" si="26">IF(F157="","",PRODUCT(F157:J157))</f>
        <v>4.5725000000000007</v>
      </c>
      <c r="M157" s="111"/>
      <c r="N157" s="111"/>
      <c r="O157" s="111"/>
      <c r="P157" s="111"/>
    </row>
    <row r="158" spans="3:16" x14ac:dyDescent="0.3">
      <c r="C158" s="114"/>
      <c r="D158" s="258" t="s">
        <v>883</v>
      </c>
      <c r="E158" s="239" t="s">
        <v>0</v>
      </c>
      <c r="F158" s="242">
        <v>1</v>
      </c>
      <c r="G158" s="236">
        <v>0.95</v>
      </c>
      <c r="H158" s="236">
        <v>2.95</v>
      </c>
      <c r="I158" s="236"/>
      <c r="J158" s="242">
        <v>1</v>
      </c>
      <c r="K158" s="237"/>
      <c r="L158" s="237">
        <f>IF(F158="","",PRODUCT(F158:J158))</f>
        <v>2.8025000000000002</v>
      </c>
      <c r="M158" s="111"/>
      <c r="N158" s="111"/>
      <c r="O158" s="111"/>
      <c r="P158" s="111"/>
    </row>
    <row r="159" spans="3:16" x14ac:dyDescent="0.3">
      <c r="C159" s="114"/>
      <c r="D159" s="258" t="s">
        <v>884</v>
      </c>
      <c r="E159" s="239" t="s">
        <v>0</v>
      </c>
      <c r="F159" s="242">
        <v>1</v>
      </c>
      <c r="G159" s="236">
        <f>2.67+2.42</f>
        <v>5.09</v>
      </c>
      <c r="H159" s="236">
        <v>2.95</v>
      </c>
      <c r="I159" s="236"/>
      <c r="J159" s="242">
        <v>1</v>
      </c>
      <c r="K159" s="237"/>
      <c r="L159" s="237">
        <f t="shared" ref="L159" si="27">IF(F159="","",PRODUCT(F159:J159))</f>
        <v>15.015500000000001</v>
      </c>
      <c r="M159" s="111"/>
      <c r="N159" s="111"/>
      <c r="O159" s="111"/>
      <c r="P159" s="111"/>
    </row>
    <row r="160" spans="3:16" x14ac:dyDescent="0.3">
      <c r="C160" s="114"/>
      <c r="D160" s="258" t="s">
        <v>885</v>
      </c>
      <c r="E160" s="239" t="s">
        <v>0</v>
      </c>
      <c r="F160" s="242">
        <v>1</v>
      </c>
      <c r="G160" s="236">
        <v>1.1000000000000001</v>
      </c>
      <c r="H160" s="236">
        <v>2.95</v>
      </c>
      <c r="I160" s="236"/>
      <c r="J160" s="242">
        <v>1</v>
      </c>
      <c r="K160" s="237"/>
      <c r="L160" s="237">
        <f>IF(F160="","",PRODUCT(F160:J160))</f>
        <v>3.2450000000000006</v>
      </c>
      <c r="M160" s="111"/>
      <c r="N160" s="111"/>
      <c r="O160" s="111"/>
      <c r="P160" s="111"/>
    </row>
    <row r="161" spans="3:16" x14ac:dyDescent="0.3">
      <c r="C161" s="114"/>
      <c r="D161" s="258" t="s">
        <v>886</v>
      </c>
      <c r="E161" s="239" t="s">
        <v>0</v>
      </c>
      <c r="F161" s="242">
        <v>1</v>
      </c>
      <c r="G161" s="236">
        <v>1.55</v>
      </c>
      <c r="H161" s="236">
        <v>2.95</v>
      </c>
      <c r="I161" s="236"/>
      <c r="J161" s="242">
        <v>1</v>
      </c>
      <c r="K161" s="237"/>
      <c r="L161" s="237">
        <f t="shared" ref="L161" si="28">IF(F161="","",PRODUCT(F161:J161))</f>
        <v>4.5725000000000007</v>
      </c>
      <c r="M161" s="111"/>
      <c r="N161" s="111"/>
      <c r="O161" s="111"/>
      <c r="P161" s="111"/>
    </row>
    <row r="162" spans="3:16" x14ac:dyDescent="0.3">
      <c r="C162" s="114"/>
      <c r="D162" s="258" t="s">
        <v>887</v>
      </c>
      <c r="E162" s="239" t="s">
        <v>0</v>
      </c>
      <c r="F162" s="242">
        <v>1</v>
      </c>
      <c r="G162" s="236">
        <v>0.95</v>
      </c>
      <c r="H162" s="236">
        <v>2.95</v>
      </c>
      <c r="I162" s="236"/>
      <c r="J162" s="242">
        <v>1</v>
      </c>
      <c r="K162" s="237"/>
      <c r="L162" s="237">
        <f>IF(F162="","",PRODUCT(F162:J162))</f>
        <v>2.8025000000000002</v>
      </c>
      <c r="M162" s="111"/>
      <c r="N162" s="111"/>
      <c r="O162" s="111"/>
      <c r="P162" s="111"/>
    </row>
    <row r="163" spans="3:16" x14ac:dyDescent="0.3">
      <c r="C163" s="114"/>
      <c r="D163" s="258" t="s">
        <v>888</v>
      </c>
      <c r="E163" s="239" t="s">
        <v>0</v>
      </c>
      <c r="F163" s="242">
        <v>1</v>
      </c>
      <c r="G163" s="236">
        <v>2.7</v>
      </c>
      <c r="H163" s="236">
        <v>2.95</v>
      </c>
      <c r="I163" s="236"/>
      <c r="J163" s="242">
        <v>1</v>
      </c>
      <c r="K163" s="237"/>
      <c r="L163" s="237">
        <f t="shared" ref="L163:L167" si="29">IF(F163="","",PRODUCT(F163:J163))</f>
        <v>7.9650000000000007</v>
      </c>
      <c r="M163" s="111"/>
      <c r="N163" s="111"/>
      <c r="O163" s="111"/>
      <c r="P163" s="111"/>
    </row>
    <row r="164" spans="3:16" x14ac:dyDescent="0.3">
      <c r="C164" s="114"/>
      <c r="D164" s="258" t="s">
        <v>889</v>
      </c>
      <c r="E164" s="239" t="s">
        <v>0</v>
      </c>
      <c r="F164" s="242">
        <v>1</v>
      </c>
      <c r="G164" s="236">
        <v>0.7</v>
      </c>
      <c r="H164" s="236">
        <v>2.95</v>
      </c>
      <c r="I164" s="236"/>
      <c r="J164" s="242">
        <v>1</v>
      </c>
      <c r="K164" s="237"/>
      <c r="L164" s="237">
        <f t="shared" si="29"/>
        <v>2.0649999999999999</v>
      </c>
      <c r="M164" s="111"/>
      <c r="N164" s="111"/>
      <c r="O164" s="111"/>
      <c r="P164" s="111"/>
    </row>
    <row r="165" spans="3:16" x14ac:dyDescent="0.3">
      <c r="C165" s="114"/>
      <c r="D165" s="258" t="s">
        <v>890</v>
      </c>
      <c r="E165" s="239" t="s">
        <v>0</v>
      </c>
      <c r="F165" s="242">
        <v>1</v>
      </c>
      <c r="G165" s="236">
        <v>0.6</v>
      </c>
      <c r="H165" s="236">
        <v>2.95</v>
      </c>
      <c r="I165" s="236"/>
      <c r="J165" s="242">
        <v>1</v>
      </c>
      <c r="K165" s="237"/>
      <c r="L165" s="237">
        <f t="shared" si="29"/>
        <v>1.77</v>
      </c>
      <c r="M165" s="111"/>
      <c r="N165" s="111"/>
      <c r="O165" s="111"/>
      <c r="P165" s="111"/>
    </row>
    <row r="166" spans="3:16" x14ac:dyDescent="0.3">
      <c r="C166" s="114"/>
      <c r="D166" s="258" t="s">
        <v>891</v>
      </c>
      <c r="E166" s="239" t="s">
        <v>0</v>
      </c>
      <c r="F166" s="242">
        <v>11</v>
      </c>
      <c r="G166" s="236">
        <v>0.95</v>
      </c>
      <c r="H166" s="236">
        <v>2.95</v>
      </c>
      <c r="I166" s="236"/>
      <c r="J166" s="242">
        <v>1</v>
      </c>
      <c r="K166" s="237"/>
      <c r="L166" s="237">
        <f t="shared" si="29"/>
        <v>30.827500000000001</v>
      </c>
      <c r="M166" s="111"/>
      <c r="N166" s="111"/>
      <c r="O166" s="111"/>
      <c r="P166" s="111"/>
    </row>
    <row r="167" spans="3:16" x14ac:dyDescent="0.3">
      <c r="C167" s="114"/>
      <c r="D167" s="258" t="s">
        <v>892</v>
      </c>
      <c r="E167" s="239" t="s">
        <v>0</v>
      </c>
      <c r="F167" s="242">
        <v>1</v>
      </c>
      <c r="G167" s="236">
        <v>0.6</v>
      </c>
      <c r="H167" s="236">
        <v>2.95</v>
      </c>
      <c r="I167" s="236"/>
      <c r="J167" s="242">
        <v>1</v>
      </c>
      <c r="K167" s="237"/>
      <c r="L167" s="237">
        <f t="shared" si="29"/>
        <v>1.77</v>
      </c>
      <c r="M167" s="111"/>
      <c r="N167" s="111"/>
      <c r="O167" s="111"/>
      <c r="P167" s="111"/>
    </row>
    <row r="168" spans="3:16" x14ac:dyDescent="0.3">
      <c r="C168" s="106"/>
      <c r="D168" s="120" t="s">
        <v>106</v>
      </c>
      <c r="E168" s="144"/>
      <c r="F168" s="119"/>
      <c r="G168" s="122" t="s">
        <v>198</v>
      </c>
      <c r="H168" s="122"/>
      <c r="I168" s="122"/>
      <c r="J168" s="119"/>
      <c r="K168" s="113"/>
      <c r="L168" s="113"/>
      <c r="M168" s="113"/>
      <c r="N168" s="113"/>
      <c r="O168" s="113"/>
      <c r="P168" s="113"/>
    </row>
    <row r="169" spans="3:16" x14ac:dyDescent="0.3">
      <c r="C169" s="114"/>
      <c r="D169" s="258" t="s">
        <v>869</v>
      </c>
      <c r="E169" s="239" t="s">
        <v>0</v>
      </c>
      <c r="F169" s="242">
        <v>1</v>
      </c>
      <c r="G169" s="236">
        <v>1.79</v>
      </c>
      <c r="H169" s="236">
        <v>2.95</v>
      </c>
      <c r="I169" s="236"/>
      <c r="J169" s="242">
        <v>1</v>
      </c>
      <c r="K169" s="237"/>
      <c r="L169" s="237">
        <f t="shared" ref="L169:L170" si="30">IF(F169="","",PRODUCT(F169:J169))</f>
        <v>5.2805000000000009</v>
      </c>
      <c r="M169" s="111"/>
      <c r="N169" s="111"/>
      <c r="O169" s="111"/>
      <c r="P169" s="111"/>
    </row>
    <row r="170" spans="3:16" x14ac:dyDescent="0.3">
      <c r="C170" s="114"/>
      <c r="D170" s="258" t="s">
        <v>870</v>
      </c>
      <c r="E170" s="239" t="s">
        <v>0</v>
      </c>
      <c r="F170" s="280">
        <v>1</v>
      </c>
      <c r="G170" s="280">
        <v>1.59</v>
      </c>
      <c r="H170" s="236">
        <v>2.95</v>
      </c>
      <c r="I170" s="236"/>
      <c r="J170" s="242">
        <v>1</v>
      </c>
      <c r="K170" s="237"/>
      <c r="L170" s="237">
        <f t="shared" si="30"/>
        <v>4.6905000000000001</v>
      </c>
      <c r="M170" s="111"/>
      <c r="N170" s="111"/>
      <c r="O170" s="111"/>
      <c r="P170" s="111"/>
    </row>
    <row r="171" spans="3:16" x14ac:dyDescent="0.3">
      <c r="C171" s="114"/>
      <c r="D171" s="258" t="s">
        <v>871</v>
      </c>
      <c r="E171" s="239" t="s">
        <v>0</v>
      </c>
      <c r="F171" s="242">
        <v>1</v>
      </c>
      <c r="G171" s="236">
        <f>1.97+1.76</f>
        <v>3.73</v>
      </c>
      <c r="H171" s="236">
        <v>2.95</v>
      </c>
      <c r="I171" s="236"/>
      <c r="J171" s="242">
        <v>1</v>
      </c>
      <c r="K171" s="237"/>
      <c r="L171" s="237">
        <f>IF(F171="","",PRODUCT(F171:J171))</f>
        <v>11.003500000000001</v>
      </c>
      <c r="M171" s="111"/>
      <c r="N171" s="111"/>
      <c r="O171" s="111"/>
      <c r="P171" s="111"/>
    </row>
    <row r="172" spans="3:16" x14ac:dyDescent="0.3">
      <c r="C172" s="114"/>
      <c r="D172" s="258" t="s">
        <v>872</v>
      </c>
      <c r="E172" s="239" t="s">
        <v>0</v>
      </c>
      <c r="F172" s="280">
        <v>1</v>
      </c>
      <c r="G172" s="280">
        <v>1.59</v>
      </c>
      <c r="H172" s="236">
        <v>2.95</v>
      </c>
      <c r="I172" s="236"/>
      <c r="J172" s="242">
        <v>1</v>
      </c>
      <c r="K172" s="237"/>
      <c r="L172" s="237">
        <f t="shared" ref="L172" si="31">IF(F172="","",PRODUCT(F172:J172))</f>
        <v>4.6905000000000001</v>
      </c>
      <c r="M172" s="111"/>
      <c r="N172" s="111"/>
      <c r="O172" s="111"/>
      <c r="P172" s="111"/>
    </row>
    <row r="173" spans="3:16" x14ac:dyDescent="0.3">
      <c r="C173" s="114"/>
      <c r="D173" s="258" t="s">
        <v>873</v>
      </c>
      <c r="E173" s="239" t="s">
        <v>0</v>
      </c>
      <c r="F173" s="242">
        <v>1</v>
      </c>
      <c r="G173" s="236">
        <f>1.97+1.76</f>
        <v>3.73</v>
      </c>
      <c r="H173" s="236">
        <v>2.95</v>
      </c>
      <c r="I173" s="236"/>
      <c r="J173" s="242">
        <v>1</v>
      </c>
      <c r="K173" s="237"/>
      <c r="L173" s="237">
        <f>IF(F173="","",PRODUCT(F173:J173))</f>
        <v>11.003500000000001</v>
      </c>
      <c r="M173" s="111"/>
      <c r="N173" s="111"/>
      <c r="O173" s="111"/>
      <c r="P173" s="111"/>
    </row>
    <row r="174" spans="3:16" x14ac:dyDescent="0.3">
      <c r="C174" s="114"/>
      <c r="D174" s="258" t="s">
        <v>874</v>
      </c>
      <c r="E174" s="239" t="s">
        <v>0</v>
      </c>
      <c r="F174" s="280">
        <v>1</v>
      </c>
      <c r="G174" s="280">
        <v>1.59</v>
      </c>
      <c r="H174" s="236">
        <v>2.95</v>
      </c>
      <c r="I174" s="236"/>
      <c r="J174" s="242">
        <v>1</v>
      </c>
      <c r="K174" s="237"/>
      <c r="L174" s="237">
        <f t="shared" ref="L174:L176" si="32">IF(F174="","",PRODUCT(F174:J174))</f>
        <v>4.6905000000000001</v>
      </c>
      <c r="M174" s="111"/>
      <c r="N174" s="111"/>
      <c r="O174" s="111"/>
      <c r="P174" s="111"/>
    </row>
    <row r="175" spans="3:16" x14ac:dyDescent="0.3">
      <c r="C175" s="114"/>
      <c r="D175" s="258" t="s">
        <v>875</v>
      </c>
      <c r="E175" s="239" t="s">
        <v>0</v>
      </c>
      <c r="F175" s="242">
        <v>1</v>
      </c>
      <c r="G175" s="236">
        <v>2</v>
      </c>
      <c r="H175" s="236">
        <v>2.95</v>
      </c>
      <c r="I175" s="236"/>
      <c r="J175" s="242">
        <v>1</v>
      </c>
      <c r="K175" s="237"/>
      <c r="L175" s="237">
        <f t="shared" si="32"/>
        <v>5.9</v>
      </c>
      <c r="M175" s="111"/>
      <c r="N175" s="111"/>
      <c r="O175" s="111"/>
      <c r="P175" s="111"/>
    </row>
    <row r="176" spans="3:16" x14ac:dyDescent="0.3">
      <c r="C176" s="114"/>
      <c r="D176" s="258" t="s">
        <v>876</v>
      </c>
      <c r="E176" s="239" t="s">
        <v>0</v>
      </c>
      <c r="F176" s="242">
        <v>1</v>
      </c>
      <c r="G176" s="236">
        <v>0.55000000000000004</v>
      </c>
      <c r="H176" s="236">
        <v>2.95</v>
      </c>
      <c r="I176" s="236"/>
      <c r="J176" s="242">
        <v>1</v>
      </c>
      <c r="K176" s="237"/>
      <c r="L176" s="237">
        <f t="shared" si="32"/>
        <v>1.6225000000000003</v>
      </c>
      <c r="M176" s="111"/>
      <c r="N176" s="111"/>
      <c r="O176" s="111"/>
      <c r="P176" s="111"/>
    </row>
    <row r="177" spans="3:16" x14ac:dyDescent="0.3">
      <c r="C177" s="114"/>
      <c r="D177" s="258" t="s">
        <v>877</v>
      </c>
      <c r="E177" s="239" t="s">
        <v>0</v>
      </c>
      <c r="F177" s="242">
        <v>1</v>
      </c>
      <c r="G177" s="236">
        <v>0.7</v>
      </c>
      <c r="H177" s="236">
        <v>2.95</v>
      </c>
      <c r="I177" s="236"/>
      <c r="J177" s="242">
        <v>1</v>
      </c>
      <c r="K177" s="237"/>
      <c r="L177" s="237">
        <f>IF(F177="","",PRODUCT(F177:J177))</f>
        <v>2.0649999999999999</v>
      </c>
      <c r="M177" s="111"/>
      <c r="N177" s="111"/>
      <c r="O177" s="111"/>
      <c r="P177" s="111"/>
    </row>
    <row r="178" spans="3:16" x14ac:dyDescent="0.3">
      <c r="C178" s="114"/>
      <c r="D178" s="258" t="s">
        <v>878</v>
      </c>
      <c r="E178" s="239" t="s">
        <v>0</v>
      </c>
      <c r="F178" s="242">
        <v>1</v>
      </c>
      <c r="G178" s="236">
        <v>1.55</v>
      </c>
      <c r="H178" s="236">
        <v>2.95</v>
      </c>
      <c r="I178" s="236"/>
      <c r="J178" s="242">
        <v>1</v>
      </c>
      <c r="K178" s="237"/>
      <c r="L178" s="237">
        <f t="shared" ref="L178" si="33">IF(F178="","",PRODUCT(F178:J178))</f>
        <v>4.5725000000000007</v>
      </c>
      <c r="M178" s="111"/>
      <c r="N178" s="111"/>
      <c r="O178" s="111"/>
      <c r="P178" s="111"/>
    </row>
    <row r="179" spans="3:16" x14ac:dyDescent="0.3">
      <c r="C179" s="114"/>
      <c r="D179" s="258" t="s">
        <v>879</v>
      </c>
      <c r="E179" s="239" t="s">
        <v>0</v>
      </c>
      <c r="F179" s="242">
        <v>1</v>
      </c>
      <c r="G179" s="236">
        <v>0.95</v>
      </c>
      <c r="H179" s="236">
        <v>2.95</v>
      </c>
      <c r="I179" s="236"/>
      <c r="J179" s="242">
        <v>1</v>
      </c>
      <c r="K179" s="237"/>
      <c r="L179" s="237">
        <f>IF(F179="","",PRODUCT(F179:J179))</f>
        <v>2.8025000000000002</v>
      </c>
      <c r="M179" s="111"/>
      <c r="N179" s="111"/>
      <c r="O179" s="111"/>
      <c r="P179" s="111"/>
    </row>
    <row r="180" spans="3:16" x14ac:dyDescent="0.3">
      <c r="C180" s="114"/>
      <c r="D180" s="258" t="s">
        <v>880</v>
      </c>
      <c r="E180" s="239" t="s">
        <v>0</v>
      </c>
      <c r="F180" s="242">
        <v>1</v>
      </c>
      <c r="G180" s="236">
        <f>2.67+2.42</f>
        <v>5.09</v>
      </c>
      <c r="H180" s="236">
        <v>2.95</v>
      </c>
      <c r="I180" s="236"/>
      <c r="J180" s="242">
        <v>1</v>
      </c>
      <c r="K180" s="237"/>
      <c r="L180" s="237">
        <f t="shared" ref="L180" si="34">IF(F180="","",PRODUCT(F180:J180))</f>
        <v>15.015500000000001</v>
      </c>
      <c r="M180" s="111"/>
      <c r="N180" s="111"/>
      <c r="O180" s="111"/>
      <c r="P180" s="111"/>
    </row>
    <row r="181" spans="3:16" x14ac:dyDescent="0.3">
      <c r="C181" s="114"/>
      <c r="D181" s="258" t="s">
        <v>881</v>
      </c>
      <c r="E181" s="239" t="s">
        <v>0</v>
      </c>
      <c r="F181" s="242">
        <v>1</v>
      </c>
      <c r="G181" s="236">
        <v>1.1000000000000001</v>
      </c>
      <c r="H181" s="236">
        <v>2.95</v>
      </c>
      <c r="I181" s="236"/>
      <c r="J181" s="242">
        <v>1</v>
      </c>
      <c r="K181" s="237"/>
      <c r="L181" s="237">
        <f>IF(F181="","",PRODUCT(F181:J181))</f>
        <v>3.2450000000000006</v>
      </c>
      <c r="M181" s="111"/>
      <c r="N181" s="111"/>
      <c r="O181" s="111"/>
      <c r="P181" s="111"/>
    </row>
    <row r="182" spans="3:16" x14ac:dyDescent="0.3">
      <c r="C182" s="114"/>
      <c r="D182" s="258" t="s">
        <v>882</v>
      </c>
      <c r="E182" s="239" t="s">
        <v>0</v>
      </c>
      <c r="F182" s="242">
        <v>1</v>
      </c>
      <c r="G182" s="236">
        <v>1.55</v>
      </c>
      <c r="H182" s="236">
        <v>2.95</v>
      </c>
      <c r="I182" s="236"/>
      <c r="J182" s="242">
        <v>1</v>
      </c>
      <c r="K182" s="237"/>
      <c r="L182" s="237">
        <f t="shared" ref="L182" si="35">IF(F182="","",PRODUCT(F182:J182))</f>
        <v>4.5725000000000007</v>
      </c>
      <c r="M182" s="111"/>
      <c r="N182" s="111"/>
      <c r="O182" s="111"/>
      <c r="P182" s="111"/>
    </row>
    <row r="183" spans="3:16" x14ac:dyDescent="0.3">
      <c r="C183" s="114"/>
      <c r="D183" s="258" t="s">
        <v>883</v>
      </c>
      <c r="E183" s="239" t="s">
        <v>0</v>
      </c>
      <c r="F183" s="242">
        <v>1</v>
      </c>
      <c r="G183" s="236">
        <v>0.95</v>
      </c>
      <c r="H183" s="236">
        <v>2.95</v>
      </c>
      <c r="I183" s="236"/>
      <c r="J183" s="242">
        <v>1</v>
      </c>
      <c r="K183" s="237"/>
      <c r="L183" s="237">
        <f>IF(F183="","",PRODUCT(F183:J183))</f>
        <v>2.8025000000000002</v>
      </c>
      <c r="M183" s="111"/>
      <c r="N183" s="111"/>
      <c r="O183" s="111"/>
      <c r="P183" s="111"/>
    </row>
    <row r="184" spans="3:16" x14ac:dyDescent="0.3">
      <c r="C184" s="114"/>
      <c r="D184" s="258" t="s">
        <v>884</v>
      </c>
      <c r="E184" s="239" t="s">
        <v>0</v>
      </c>
      <c r="F184" s="242">
        <v>1</v>
      </c>
      <c r="G184" s="236">
        <f>2.67+2.42</f>
        <v>5.09</v>
      </c>
      <c r="H184" s="236">
        <v>2.95</v>
      </c>
      <c r="I184" s="236"/>
      <c r="J184" s="242">
        <v>1</v>
      </c>
      <c r="K184" s="237"/>
      <c r="L184" s="237">
        <f t="shared" ref="L184" si="36">IF(F184="","",PRODUCT(F184:J184))</f>
        <v>15.015500000000001</v>
      </c>
      <c r="M184" s="111"/>
      <c r="N184" s="111"/>
      <c r="O184" s="111"/>
      <c r="P184" s="111"/>
    </row>
    <row r="185" spans="3:16" x14ac:dyDescent="0.3">
      <c r="C185" s="114"/>
      <c r="D185" s="258" t="s">
        <v>885</v>
      </c>
      <c r="E185" s="239" t="s">
        <v>0</v>
      </c>
      <c r="F185" s="242">
        <v>1</v>
      </c>
      <c r="G185" s="236">
        <v>1.1000000000000001</v>
      </c>
      <c r="H185" s="236">
        <v>2.95</v>
      </c>
      <c r="I185" s="236"/>
      <c r="J185" s="242">
        <v>1</v>
      </c>
      <c r="K185" s="237"/>
      <c r="L185" s="237">
        <f>IF(F185="","",PRODUCT(F185:J185))</f>
        <v>3.2450000000000006</v>
      </c>
      <c r="M185" s="111"/>
      <c r="N185" s="111"/>
      <c r="O185" s="111"/>
      <c r="P185" s="111"/>
    </row>
    <row r="186" spans="3:16" x14ac:dyDescent="0.3">
      <c r="C186" s="114"/>
      <c r="D186" s="258" t="s">
        <v>886</v>
      </c>
      <c r="E186" s="239" t="s">
        <v>0</v>
      </c>
      <c r="F186" s="242">
        <v>1</v>
      </c>
      <c r="G186" s="236">
        <v>1.55</v>
      </c>
      <c r="H186" s="236">
        <v>2.95</v>
      </c>
      <c r="I186" s="236"/>
      <c r="J186" s="242">
        <v>1</v>
      </c>
      <c r="K186" s="237"/>
      <c r="L186" s="237">
        <f t="shared" ref="L186" si="37">IF(F186="","",PRODUCT(F186:J186))</f>
        <v>4.5725000000000007</v>
      </c>
      <c r="M186" s="111"/>
      <c r="N186" s="111"/>
      <c r="O186" s="111"/>
      <c r="P186" s="111"/>
    </row>
    <row r="187" spans="3:16" x14ac:dyDescent="0.3">
      <c r="C187" s="114"/>
      <c r="D187" s="258" t="s">
        <v>887</v>
      </c>
      <c r="E187" s="239" t="s">
        <v>0</v>
      </c>
      <c r="F187" s="242">
        <v>1</v>
      </c>
      <c r="G187" s="236">
        <v>0.95</v>
      </c>
      <c r="H187" s="236">
        <v>2.95</v>
      </c>
      <c r="I187" s="236"/>
      <c r="J187" s="242">
        <v>1</v>
      </c>
      <c r="K187" s="237"/>
      <c r="L187" s="237">
        <f>IF(F187="","",PRODUCT(F187:J187))</f>
        <v>2.8025000000000002</v>
      </c>
      <c r="M187" s="111"/>
      <c r="N187" s="111"/>
      <c r="O187" s="111"/>
      <c r="P187" s="111"/>
    </row>
    <row r="188" spans="3:16" x14ac:dyDescent="0.3">
      <c r="C188" s="114"/>
      <c r="D188" s="258" t="s">
        <v>888</v>
      </c>
      <c r="E188" s="239" t="s">
        <v>0</v>
      </c>
      <c r="F188" s="242">
        <v>1</v>
      </c>
      <c r="G188" s="236">
        <v>2.7</v>
      </c>
      <c r="H188" s="236">
        <v>2.95</v>
      </c>
      <c r="I188" s="236"/>
      <c r="J188" s="242">
        <v>1</v>
      </c>
      <c r="K188" s="237"/>
      <c r="L188" s="237">
        <f t="shared" ref="L188:L192" si="38">IF(F188="","",PRODUCT(F188:J188))</f>
        <v>7.9650000000000007</v>
      </c>
      <c r="M188" s="111"/>
      <c r="N188" s="111"/>
      <c r="O188" s="111"/>
      <c r="P188" s="111"/>
    </row>
    <row r="189" spans="3:16" x14ac:dyDescent="0.3">
      <c r="C189" s="114"/>
      <c r="D189" s="258" t="s">
        <v>889</v>
      </c>
      <c r="E189" s="239" t="s">
        <v>0</v>
      </c>
      <c r="F189" s="242">
        <v>1</v>
      </c>
      <c r="G189" s="236">
        <v>0.7</v>
      </c>
      <c r="H189" s="236">
        <v>2.95</v>
      </c>
      <c r="I189" s="236"/>
      <c r="J189" s="242">
        <v>1</v>
      </c>
      <c r="K189" s="237"/>
      <c r="L189" s="237">
        <f t="shared" si="38"/>
        <v>2.0649999999999999</v>
      </c>
      <c r="M189" s="111"/>
      <c r="N189" s="111"/>
      <c r="O189" s="111"/>
      <c r="P189" s="111"/>
    </row>
    <row r="190" spans="3:16" x14ac:dyDescent="0.3">
      <c r="C190" s="114"/>
      <c r="D190" s="258" t="s">
        <v>890</v>
      </c>
      <c r="E190" s="239" t="s">
        <v>0</v>
      </c>
      <c r="F190" s="242">
        <v>1</v>
      </c>
      <c r="G190" s="236">
        <v>0.6</v>
      </c>
      <c r="H190" s="236">
        <v>2.95</v>
      </c>
      <c r="I190" s="236"/>
      <c r="J190" s="242">
        <v>1</v>
      </c>
      <c r="K190" s="237"/>
      <c r="L190" s="237">
        <f t="shared" si="38"/>
        <v>1.77</v>
      </c>
      <c r="M190" s="111"/>
      <c r="N190" s="111"/>
      <c r="O190" s="111"/>
      <c r="P190" s="111"/>
    </row>
    <row r="191" spans="3:16" x14ac:dyDescent="0.3">
      <c r="C191" s="114"/>
      <c r="D191" s="258" t="s">
        <v>891</v>
      </c>
      <c r="E191" s="239" t="s">
        <v>0</v>
      </c>
      <c r="F191" s="242">
        <v>11</v>
      </c>
      <c r="G191" s="236">
        <v>0.95</v>
      </c>
      <c r="H191" s="236">
        <v>2.95</v>
      </c>
      <c r="I191" s="236"/>
      <c r="J191" s="242">
        <v>1</v>
      </c>
      <c r="K191" s="237"/>
      <c r="L191" s="237">
        <f t="shared" si="38"/>
        <v>30.827500000000001</v>
      </c>
      <c r="M191" s="111"/>
      <c r="N191" s="111"/>
      <c r="O191" s="111"/>
      <c r="P191" s="111"/>
    </row>
    <row r="192" spans="3:16" x14ac:dyDescent="0.3">
      <c r="C192" s="114"/>
      <c r="D192" s="258" t="s">
        <v>892</v>
      </c>
      <c r="E192" s="239" t="s">
        <v>0</v>
      </c>
      <c r="F192" s="242">
        <v>1</v>
      </c>
      <c r="G192" s="236">
        <v>0.6</v>
      </c>
      <c r="H192" s="236">
        <v>2.95</v>
      </c>
      <c r="I192" s="236"/>
      <c r="J192" s="242">
        <v>1</v>
      </c>
      <c r="K192" s="237"/>
      <c r="L192" s="237">
        <f t="shared" si="38"/>
        <v>1.77</v>
      </c>
      <c r="M192" s="111"/>
      <c r="N192" s="111"/>
      <c r="O192" s="111"/>
      <c r="P192" s="111"/>
    </row>
    <row r="193" spans="3:16" x14ac:dyDescent="0.3">
      <c r="C193" s="106"/>
      <c r="D193" s="120"/>
      <c r="E193" s="144"/>
      <c r="F193" s="119"/>
      <c r="G193" s="122"/>
      <c r="H193" s="122"/>
      <c r="I193" s="122"/>
      <c r="J193" s="119"/>
      <c r="K193" s="113"/>
      <c r="L193" s="113"/>
      <c r="M193" s="113"/>
      <c r="N193" s="113"/>
      <c r="O193" s="113"/>
      <c r="P193" s="113"/>
    </row>
    <row r="194" spans="3:16" x14ac:dyDescent="0.3">
      <c r="C194" s="106"/>
      <c r="D194" s="120" t="s">
        <v>51</v>
      </c>
      <c r="E194" s="144"/>
      <c r="F194" s="119"/>
      <c r="G194" s="122" t="s">
        <v>198</v>
      </c>
      <c r="H194" s="122"/>
      <c r="I194" s="122"/>
      <c r="J194" s="119"/>
      <c r="K194" s="113"/>
      <c r="L194" s="113"/>
      <c r="M194" s="113"/>
      <c r="N194" s="113"/>
      <c r="O194" s="113"/>
      <c r="P194" s="113"/>
    </row>
    <row r="195" spans="3:16" x14ac:dyDescent="0.3">
      <c r="C195" s="114"/>
      <c r="D195" s="266" t="s">
        <v>869</v>
      </c>
      <c r="E195" s="269" t="s">
        <v>0</v>
      </c>
      <c r="F195" s="270">
        <v>1</v>
      </c>
      <c r="G195" s="268">
        <v>0.84</v>
      </c>
      <c r="H195" s="268">
        <v>3.95</v>
      </c>
      <c r="I195" s="268"/>
      <c r="J195" s="270">
        <v>1</v>
      </c>
      <c r="K195" s="268"/>
      <c r="L195" s="268">
        <f t="shared" ref="L195:L200" si="39">IF(F195="","",PRODUCT(F195:J195))</f>
        <v>3.3180000000000001</v>
      </c>
      <c r="M195" s="111"/>
      <c r="N195" s="111"/>
      <c r="O195" s="111"/>
      <c r="P195" s="111"/>
    </row>
    <row r="196" spans="3:16" x14ac:dyDescent="0.3">
      <c r="C196" s="114"/>
      <c r="D196" s="266" t="s">
        <v>893</v>
      </c>
      <c r="E196" s="269" t="s">
        <v>0</v>
      </c>
      <c r="F196" s="270">
        <v>5</v>
      </c>
      <c r="G196" s="268">
        <v>1.59</v>
      </c>
      <c r="H196" s="268">
        <v>3.95</v>
      </c>
      <c r="I196" s="268"/>
      <c r="J196" s="270">
        <v>1</v>
      </c>
      <c r="K196" s="268"/>
      <c r="L196" s="268">
        <f t="shared" si="39"/>
        <v>31.402500000000003</v>
      </c>
      <c r="M196" s="111"/>
      <c r="N196" s="111"/>
      <c r="O196" s="111"/>
      <c r="P196" s="111"/>
    </row>
    <row r="197" spans="3:16" x14ac:dyDescent="0.3">
      <c r="C197" s="114"/>
      <c r="D197" s="266" t="s">
        <v>875</v>
      </c>
      <c r="E197" s="269" t="s">
        <v>0</v>
      </c>
      <c r="F197" s="270">
        <v>1</v>
      </c>
      <c r="G197" s="280">
        <v>1.05</v>
      </c>
      <c r="H197" s="268">
        <v>3.95</v>
      </c>
      <c r="I197" s="268"/>
      <c r="J197" s="270">
        <v>1</v>
      </c>
      <c r="K197" s="268"/>
      <c r="L197" s="268">
        <f t="shared" si="39"/>
        <v>4.1475</v>
      </c>
      <c r="M197" s="111"/>
      <c r="N197" s="111"/>
      <c r="O197" s="111"/>
      <c r="P197" s="111"/>
    </row>
    <row r="198" spans="3:16" x14ac:dyDescent="0.3">
      <c r="C198" s="114"/>
      <c r="D198" s="258" t="s">
        <v>894</v>
      </c>
      <c r="E198" s="269" t="s">
        <v>0</v>
      </c>
      <c r="F198" s="242">
        <v>1</v>
      </c>
      <c r="G198" s="236">
        <v>0.6</v>
      </c>
      <c r="H198" s="236">
        <v>2.95</v>
      </c>
      <c r="I198" s="236"/>
      <c r="J198" s="242">
        <v>1</v>
      </c>
      <c r="K198" s="237"/>
      <c r="L198" s="237">
        <f t="shared" si="39"/>
        <v>1.77</v>
      </c>
      <c r="M198" s="111"/>
      <c r="N198" s="111"/>
      <c r="O198" s="111"/>
      <c r="P198" s="111"/>
    </row>
    <row r="199" spans="3:16" x14ac:dyDescent="0.3">
      <c r="C199" s="114"/>
      <c r="D199" s="258" t="s">
        <v>895</v>
      </c>
      <c r="E199" s="269" t="s">
        <v>0</v>
      </c>
      <c r="F199" s="242">
        <v>1</v>
      </c>
      <c r="G199" s="236">
        <v>0.95</v>
      </c>
      <c r="H199" s="236">
        <v>2.95</v>
      </c>
      <c r="I199" s="236"/>
      <c r="J199" s="242">
        <v>1</v>
      </c>
      <c r="K199" s="237"/>
      <c r="L199" s="237">
        <f t="shared" si="39"/>
        <v>2.8025000000000002</v>
      </c>
      <c r="M199" s="111"/>
      <c r="N199" s="111"/>
      <c r="O199" s="111"/>
      <c r="P199" s="111"/>
    </row>
    <row r="200" spans="3:16" x14ac:dyDescent="0.3">
      <c r="C200" s="114"/>
      <c r="D200" s="258" t="s">
        <v>896</v>
      </c>
      <c r="E200" s="269" t="s">
        <v>0</v>
      </c>
      <c r="F200" s="242">
        <v>1</v>
      </c>
      <c r="G200" s="236">
        <v>0.6</v>
      </c>
      <c r="H200" s="236">
        <v>2.95</v>
      </c>
      <c r="I200" s="236"/>
      <c r="J200" s="242">
        <v>1</v>
      </c>
      <c r="K200" s="237"/>
      <c r="L200" s="237">
        <f t="shared" si="39"/>
        <v>1.77</v>
      </c>
      <c r="M200" s="111"/>
      <c r="N200" s="111"/>
      <c r="O200" s="111"/>
      <c r="P200" s="111"/>
    </row>
    <row r="201" spans="3:16" x14ac:dyDescent="0.3">
      <c r="C201" s="114"/>
      <c r="D201" s="117"/>
      <c r="E201" s="108"/>
      <c r="F201" s="112"/>
      <c r="G201" s="110"/>
      <c r="H201" s="110"/>
      <c r="I201" s="110"/>
      <c r="J201" s="112"/>
      <c r="K201" s="111"/>
      <c r="L201" s="111"/>
      <c r="M201" s="111"/>
      <c r="N201" s="111"/>
      <c r="O201" s="111"/>
      <c r="P201" s="111"/>
    </row>
    <row r="202" spans="3:16" x14ac:dyDescent="0.3">
      <c r="C202" s="289" t="s">
        <v>1183</v>
      </c>
      <c r="D202" s="100" t="s">
        <v>519</v>
      </c>
      <c r="E202" s="290" t="s">
        <v>0</v>
      </c>
      <c r="F202" s="291"/>
      <c r="G202" s="292"/>
      <c r="H202" s="292"/>
      <c r="I202" s="292"/>
      <c r="J202" s="293"/>
      <c r="K202" s="294"/>
      <c r="L202" s="294"/>
      <c r="M202" s="294"/>
      <c r="N202" s="294"/>
      <c r="O202" s="294"/>
      <c r="P202" s="294">
        <f>SUM(L202:L273)</f>
        <v>167.66549999999998</v>
      </c>
    </row>
    <row r="203" spans="3:16" x14ac:dyDescent="0.3">
      <c r="C203" s="106"/>
      <c r="D203" s="120" t="s">
        <v>127</v>
      </c>
      <c r="E203" s="144"/>
      <c r="F203" s="119"/>
      <c r="G203" s="122"/>
      <c r="H203" s="122"/>
      <c r="I203" s="113" t="s">
        <v>625</v>
      </c>
      <c r="J203" s="119"/>
      <c r="K203" s="113"/>
      <c r="L203" s="113"/>
      <c r="M203" s="113"/>
      <c r="N203" s="113"/>
      <c r="O203" s="113"/>
      <c r="P203" s="113"/>
    </row>
    <row r="204" spans="3:16" x14ac:dyDescent="0.3">
      <c r="C204" s="114"/>
      <c r="D204" s="258" t="s">
        <v>897</v>
      </c>
      <c r="E204" s="239" t="s">
        <v>0</v>
      </c>
      <c r="F204" s="242">
        <v>12</v>
      </c>
      <c r="G204" s="236">
        <v>2.14</v>
      </c>
      <c r="H204" s="236">
        <v>0.35</v>
      </c>
      <c r="I204" s="237">
        <v>0</v>
      </c>
      <c r="J204" s="242">
        <v>1</v>
      </c>
      <c r="K204" s="237"/>
      <c r="L204" s="237">
        <f>((I204)+H204)*F204*G204*J204</f>
        <v>8.9879999999999995</v>
      </c>
      <c r="M204" s="111"/>
      <c r="N204" s="111"/>
      <c r="O204" s="111"/>
      <c r="P204" s="111"/>
    </row>
    <row r="205" spans="3:16" x14ac:dyDescent="0.3">
      <c r="C205" s="114"/>
      <c r="D205" s="258" t="s">
        <v>898</v>
      </c>
      <c r="E205" s="239" t="s">
        <v>0</v>
      </c>
      <c r="F205" s="242">
        <v>6</v>
      </c>
      <c r="G205" s="236">
        <v>3.65</v>
      </c>
      <c r="H205" s="236">
        <v>0.1</v>
      </c>
      <c r="I205" s="237"/>
      <c r="J205" s="242">
        <v>1</v>
      </c>
      <c r="K205" s="237"/>
      <c r="L205" s="237">
        <f>((I205)+H205)*F205*G205*J205</f>
        <v>2.1900000000000004</v>
      </c>
      <c r="M205" s="111"/>
      <c r="N205" s="111"/>
      <c r="O205" s="111"/>
      <c r="P205" s="111"/>
    </row>
    <row r="206" spans="3:16" x14ac:dyDescent="0.3">
      <c r="C206" s="114"/>
      <c r="D206" s="258" t="s">
        <v>899</v>
      </c>
      <c r="E206" s="239" t="s">
        <v>0</v>
      </c>
      <c r="F206" s="242">
        <v>6</v>
      </c>
      <c r="G206" s="236">
        <v>3.65</v>
      </c>
      <c r="H206" s="236"/>
      <c r="I206" s="236">
        <v>0.35</v>
      </c>
      <c r="J206" s="242">
        <v>1</v>
      </c>
      <c r="K206" s="237"/>
      <c r="L206" s="237">
        <f t="shared" ref="L206:L220" si="40">IF(F206="","",PRODUCT(F206:J206))</f>
        <v>7.6649999999999991</v>
      </c>
      <c r="M206" s="111"/>
      <c r="N206" s="111"/>
      <c r="O206" s="111"/>
      <c r="P206" s="111"/>
    </row>
    <row r="207" spans="3:16" x14ac:dyDescent="0.3">
      <c r="C207" s="114"/>
      <c r="D207" s="258" t="s">
        <v>900</v>
      </c>
      <c r="E207" s="239" t="s">
        <v>0</v>
      </c>
      <c r="F207" s="242">
        <v>1</v>
      </c>
      <c r="G207" s="236">
        <v>3.3</v>
      </c>
      <c r="H207" s="236"/>
      <c r="I207" s="236">
        <v>0.1</v>
      </c>
      <c r="J207" s="242">
        <v>1</v>
      </c>
      <c r="K207" s="237"/>
      <c r="L207" s="237">
        <f t="shared" si="40"/>
        <v>0.33</v>
      </c>
      <c r="M207" s="111"/>
      <c r="N207" s="111"/>
      <c r="O207" s="111"/>
      <c r="P207" s="111"/>
    </row>
    <row r="208" spans="3:16" x14ac:dyDescent="0.3">
      <c r="C208" s="114"/>
      <c r="D208" s="258" t="s">
        <v>901</v>
      </c>
      <c r="E208" s="239" t="s">
        <v>0</v>
      </c>
      <c r="F208" s="242">
        <v>1</v>
      </c>
      <c r="G208" s="236">
        <v>2.95</v>
      </c>
      <c r="H208" s="236">
        <v>0.25</v>
      </c>
      <c r="I208" s="236"/>
      <c r="J208" s="242">
        <v>1</v>
      </c>
      <c r="K208" s="237"/>
      <c r="L208" s="237">
        <f t="shared" si="40"/>
        <v>0.73750000000000004</v>
      </c>
      <c r="M208" s="111"/>
      <c r="N208" s="111"/>
      <c r="O208" s="111"/>
      <c r="P208" s="111"/>
    </row>
    <row r="209" spans="3:16" x14ac:dyDescent="0.3">
      <c r="C209" s="114"/>
      <c r="D209" s="258" t="s">
        <v>902</v>
      </c>
      <c r="E209" s="239" t="s">
        <v>0</v>
      </c>
      <c r="F209" s="242">
        <v>1</v>
      </c>
      <c r="G209" s="236">
        <v>6.4</v>
      </c>
      <c r="H209" s="236">
        <v>0.6</v>
      </c>
      <c r="I209" s="236"/>
      <c r="J209" s="242">
        <v>1</v>
      </c>
      <c r="K209" s="237"/>
      <c r="L209" s="237">
        <f t="shared" si="40"/>
        <v>3.84</v>
      </c>
      <c r="M209" s="111"/>
      <c r="N209" s="111"/>
      <c r="O209" s="111"/>
      <c r="P209" s="111"/>
    </row>
    <row r="210" spans="3:16" x14ac:dyDescent="0.3">
      <c r="C210" s="114"/>
      <c r="D210" s="258" t="s">
        <v>903</v>
      </c>
      <c r="E210" s="239" t="s">
        <v>0</v>
      </c>
      <c r="F210" s="242">
        <v>1</v>
      </c>
      <c r="G210" s="236">
        <v>2.95</v>
      </c>
      <c r="H210" s="236">
        <v>0.25</v>
      </c>
      <c r="I210" s="236"/>
      <c r="J210" s="242">
        <v>1</v>
      </c>
      <c r="K210" s="237"/>
      <c r="L210" s="237">
        <f t="shared" si="40"/>
        <v>0.73750000000000004</v>
      </c>
      <c r="M210" s="111"/>
      <c r="N210" s="111"/>
      <c r="O210" s="111"/>
      <c r="P210" s="111"/>
    </row>
    <row r="211" spans="3:16" x14ac:dyDescent="0.3">
      <c r="C211" s="114"/>
      <c r="D211" s="258" t="s">
        <v>904</v>
      </c>
      <c r="E211" s="239" t="s">
        <v>0</v>
      </c>
      <c r="F211" s="242">
        <v>1</v>
      </c>
      <c r="G211" s="236">
        <v>3.3</v>
      </c>
      <c r="H211" s="236"/>
      <c r="I211" s="236">
        <f>0.1*2</f>
        <v>0.2</v>
      </c>
      <c r="J211" s="242">
        <v>1</v>
      </c>
      <c r="K211" s="237"/>
      <c r="L211" s="237">
        <f t="shared" si="40"/>
        <v>0.66</v>
      </c>
      <c r="M211" s="111"/>
      <c r="N211" s="111"/>
      <c r="O211" s="111"/>
      <c r="P211" s="111"/>
    </row>
    <row r="212" spans="3:16" x14ac:dyDescent="0.3">
      <c r="C212" s="114"/>
      <c r="D212" s="258" t="s">
        <v>905</v>
      </c>
      <c r="E212" s="239" t="s">
        <v>0</v>
      </c>
      <c r="F212" s="242">
        <v>1</v>
      </c>
      <c r="G212" s="236">
        <v>2.95</v>
      </c>
      <c r="H212" s="236">
        <v>0.25</v>
      </c>
      <c r="I212" s="236"/>
      <c r="J212" s="242">
        <v>1</v>
      </c>
      <c r="K212" s="237"/>
      <c r="L212" s="237">
        <f t="shared" si="40"/>
        <v>0.73750000000000004</v>
      </c>
      <c r="M212" s="111"/>
      <c r="N212" s="111"/>
      <c r="O212" s="111"/>
      <c r="P212" s="111"/>
    </row>
    <row r="213" spans="3:16" x14ac:dyDescent="0.3">
      <c r="C213" s="114"/>
      <c r="D213" s="258" t="s">
        <v>906</v>
      </c>
      <c r="E213" s="239" t="s">
        <v>0</v>
      </c>
      <c r="F213" s="242">
        <v>1</v>
      </c>
      <c r="G213" s="236">
        <v>6.4</v>
      </c>
      <c r="H213" s="236">
        <v>0.6</v>
      </c>
      <c r="I213" s="236"/>
      <c r="J213" s="242">
        <v>1</v>
      </c>
      <c r="K213" s="237"/>
      <c r="L213" s="237">
        <f t="shared" si="40"/>
        <v>3.84</v>
      </c>
      <c r="M213" s="111"/>
      <c r="N213" s="111"/>
      <c r="O213" s="111"/>
      <c r="P213" s="111"/>
    </row>
    <row r="214" spans="3:16" x14ac:dyDescent="0.3">
      <c r="C214" s="114"/>
      <c r="D214" s="258" t="s">
        <v>907</v>
      </c>
      <c r="E214" s="239" t="s">
        <v>0</v>
      </c>
      <c r="F214" s="242">
        <v>1</v>
      </c>
      <c r="G214" s="236">
        <v>2.95</v>
      </c>
      <c r="H214" s="236">
        <v>0.25</v>
      </c>
      <c r="I214" s="236"/>
      <c r="J214" s="242">
        <v>1</v>
      </c>
      <c r="K214" s="237"/>
      <c r="L214" s="237">
        <f t="shared" si="40"/>
        <v>0.73750000000000004</v>
      </c>
      <c r="M214" s="111"/>
      <c r="N214" s="111"/>
      <c r="O214" s="111"/>
      <c r="P214" s="111"/>
    </row>
    <row r="215" spans="3:16" x14ac:dyDescent="0.3">
      <c r="C215" s="114"/>
      <c r="D215" s="258" t="s">
        <v>908</v>
      </c>
      <c r="E215" s="239" t="s">
        <v>0</v>
      </c>
      <c r="F215" s="242">
        <v>1</v>
      </c>
      <c r="G215" s="236">
        <v>3.3</v>
      </c>
      <c r="H215" s="236"/>
      <c r="I215" s="236">
        <f>0.1*2</f>
        <v>0.2</v>
      </c>
      <c r="J215" s="242">
        <v>1</v>
      </c>
      <c r="K215" s="237"/>
      <c r="L215" s="237">
        <f t="shared" si="40"/>
        <v>0.66</v>
      </c>
      <c r="M215" s="111"/>
      <c r="N215" s="111"/>
      <c r="O215" s="111"/>
      <c r="P215" s="111"/>
    </row>
    <row r="216" spans="3:16" x14ac:dyDescent="0.3">
      <c r="C216" s="114"/>
      <c r="D216" s="258" t="s">
        <v>909</v>
      </c>
      <c r="E216" s="239" t="s">
        <v>0</v>
      </c>
      <c r="F216" s="242">
        <v>1</v>
      </c>
      <c r="G216" s="236">
        <v>2.95</v>
      </c>
      <c r="H216" s="236">
        <v>0.25</v>
      </c>
      <c r="I216" s="236"/>
      <c r="J216" s="242">
        <v>1</v>
      </c>
      <c r="K216" s="237"/>
      <c r="L216" s="237">
        <f t="shared" si="40"/>
        <v>0.73750000000000004</v>
      </c>
      <c r="M216" s="111"/>
      <c r="N216" s="111"/>
      <c r="O216" s="111"/>
      <c r="P216" s="111"/>
    </row>
    <row r="217" spans="3:16" x14ac:dyDescent="0.3">
      <c r="C217" s="114"/>
      <c r="D217" s="258" t="s">
        <v>910</v>
      </c>
      <c r="E217" s="239" t="s">
        <v>0</v>
      </c>
      <c r="F217" s="242">
        <v>1</v>
      </c>
      <c r="G217" s="236">
        <v>6.4</v>
      </c>
      <c r="H217" s="236">
        <v>0.6</v>
      </c>
      <c r="I217" s="236"/>
      <c r="J217" s="242">
        <v>1</v>
      </c>
      <c r="K217" s="237"/>
      <c r="L217" s="237">
        <f t="shared" si="40"/>
        <v>3.84</v>
      </c>
      <c r="M217" s="111"/>
      <c r="N217" s="111"/>
      <c r="O217" s="111"/>
      <c r="P217" s="111"/>
    </row>
    <row r="218" spans="3:16" x14ac:dyDescent="0.3">
      <c r="C218" s="114"/>
      <c r="D218" s="258" t="s">
        <v>911</v>
      </c>
      <c r="E218" s="239" t="s">
        <v>0</v>
      </c>
      <c r="F218" s="242">
        <v>1</v>
      </c>
      <c r="G218" s="236">
        <v>2.95</v>
      </c>
      <c r="H218" s="236">
        <v>0.25</v>
      </c>
      <c r="I218" s="236"/>
      <c r="J218" s="242">
        <v>1</v>
      </c>
      <c r="K218" s="237"/>
      <c r="L218" s="237">
        <f t="shared" si="40"/>
        <v>0.73750000000000004</v>
      </c>
      <c r="M218" s="111"/>
      <c r="N218" s="111"/>
      <c r="O218" s="111"/>
      <c r="P218" s="111"/>
    </row>
    <row r="219" spans="3:16" x14ac:dyDescent="0.3">
      <c r="C219" s="114"/>
      <c r="D219" s="258" t="s">
        <v>912</v>
      </c>
      <c r="E219" s="239" t="s">
        <v>0</v>
      </c>
      <c r="F219" s="242">
        <v>1</v>
      </c>
      <c r="G219" s="236">
        <v>3.3</v>
      </c>
      <c r="H219" s="236"/>
      <c r="I219" s="236">
        <v>0.1</v>
      </c>
      <c r="J219" s="242">
        <v>1</v>
      </c>
      <c r="K219" s="237"/>
      <c r="L219" s="237">
        <f t="shared" si="40"/>
        <v>0.33</v>
      </c>
      <c r="M219" s="111"/>
      <c r="N219" s="111"/>
      <c r="O219" s="111"/>
      <c r="P219" s="111"/>
    </row>
    <row r="220" spans="3:16" x14ac:dyDescent="0.3">
      <c r="C220" s="114"/>
      <c r="D220" s="258" t="s">
        <v>913</v>
      </c>
      <c r="E220" s="239" t="s">
        <v>0</v>
      </c>
      <c r="F220" s="242">
        <v>1</v>
      </c>
      <c r="G220" s="236">
        <v>2.95</v>
      </c>
      <c r="H220" s="236">
        <v>0.25</v>
      </c>
      <c r="I220" s="236"/>
      <c r="J220" s="242">
        <v>1</v>
      </c>
      <c r="K220" s="237"/>
      <c r="L220" s="237">
        <f t="shared" si="40"/>
        <v>0.73750000000000004</v>
      </c>
      <c r="M220" s="111"/>
      <c r="N220" s="111"/>
      <c r="O220" s="111"/>
      <c r="P220" s="111"/>
    </row>
    <row r="221" spans="3:16" x14ac:dyDescent="0.3">
      <c r="C221" s="114"/>
      <c r="D221" s="233" t="s">
        <v>239</v>
      </c>
      <c r="E221" s="234" t="s">
        <v>0</v>
      </c>
      <c r="F221" s="235">
        <v>18</v>
      </c>
      <c r="G221" s="236">
        <v>0.5</v>
      </c>
      <c r="H221" s="236">
        <v>0.1</v>
      </c>
      <c r="I221" s="236">
        <v>0</v>
      </c>
      <c r="J221" s="235">
        <v>1</v>
      </c>
      <c r="K221" s="237"/>
      <c r="L221" s="237">
        <f t="shared" ref="L221" si="41">((I221)+H221)*F221*G221*J221</f>
        <v>0.9</v>
      </c>
      <c r="M221" s="111"/>
      <c r="N221" s="111"/>
      <c r="O221" s="111"/>
      <c r="P221" s="111"/>
    </row>
    <row r="222" spans="3:16" x14ac:dyDescent="0.3">
      <c r="C222" s="106"/>
      <c r="D222" s="120" t="s">
        <v>68</v>
      </c>
      <c r="E222" s="144"/>
      <c r="F222" s="119"/>
      <c r="G222" s="122"/>
      <c r="H222" s="122"/>
      <c r="I222" s="122" t="s">
        <v>556</v>
      </c>
      <c r="J222" s="119"/>
      <c r="K222" s="113"/>
      <c r="L222" s="113"/>
      <c r="M222" s="113"/>
      <c r="N222" s="113"/>
      <c r="O222" s="113"/>
      <c r="P222" s="113"/>
    </row>
    <row r="223" spans="3:16" x14ac:dyDescent="0.3">
      <c r="C223" s="114"/>
      <c r="D223" s="258" t="s">
        <v>897</v>
      </c>
      <c r="E223" s="239" t="s">
        <v>0</v>
      </c>
      <c r="F223" s="242">
        <v>12</v>
      </c>
      <c r="G223" s="236">
        <v>2.14</v>
      </c>
      <c r="H223" s="236">
        <v>0.35</v>
      </c>
      <c r="I223" s="237">
        <v>0</v>
      </c>
      <c r="J223" s="242">
        <v>1</v>
      </c>
      <c r="K223" s="237"/>
      <c r="L223" s="237">
        <f>((I223)+H223)*F223*G223*J223</f>
        <v>8.9879999999999995</v>
      </c>
      <c r="M223" s="111"/>
      <c r="N223" s="111"/>
      <c r="O223" s="111"/>
      <c r="P223" s="111"/>
    </row>
    <row r="224" spans="3:16" x14ac:dyDescent="0.3">
      <c r="C224" s="114"/>
      <c r="D224" s="258" t="s">
        <v>898</v>
      </c>
      <c r="E224" s="239" t="s">
        <v>0</v>
      </c>
      <c r="F224" s="242">
        <v>6</v>
      </c>
      <c r="G224" s="236">
        <v>3.65</v>
      </c>
      <c r="H224" s="236">
        <v>0.1</v>
      </c>
      <c r="I224" s="237"/>
      <c r="J224" s="242">
        <v>1</v>
      </c>
      <c r="K224" s="237"/>
      <c r="L224" s="237">
        <f>((I224)+H224)*F224*G224*J224</f>
        <v>2.1900000000000004</v>
      </c>
      <c r="M224" s="111"/>
      <c r="N224" s="111"/>
      <c r="O224" s="111"/>
      <c r="P224" s="111"/>
    </row>
    <row r="225" spans="3:16" x14ac:dyDescent="0.3">
      <c r="C225" s="114"/>
      <c r="D225" s="258" t="s">
        <v>899</v>
      </c>
      <c r="E225" s="239" t="s">
        <v>0</v>
      </c>
      <c r="F225" s="242">
        <v>6</v>
      </c>
      <c r="G225" s="236">
        <v>3.65</v>
      </c>
      <c r="H225" s="236"/>
      <c r="I225" s="236">
        <v>0.35</v>
      </c>
      <c r="J225" s="242">
        <v>1</v>
      </c>
      <c r="K225" s="237"/>
      <c r="L225" s="237">
        <f t="shared" ref="L225:L239" si="42">IF(F225="","",PRODUCT(F225:J225))</f>
        <v>7.6649999999999991</v>
      </c>
      <c r="M225" s="111"/>
      <c r="N225" s="111"/>
      <c r="O225" s="111"/>
      <c r="P225" s="111"/>
    </row>
    <row r="226" spans="3:16" x14ac:dyDescent="0.3">
      <c r="C226" s="114"/>
      <c r="D226" s="258" t="s">
        <v>900</v>
      </c>
      <c r="E226" s="239" t="s">
        <v>0</v>
      </c>
      <c r="F226" s="242">
        <v>1</v>
      </c>
      <c r="G226" s="236">
        <v>3.3</v>
      </c>
      <c r="H226" s="236"/>
      <c r="I226" s="236">
        <v>0.1</v>
      </c>
      <c r="J226" s="242">
        <v>1</v>
      </c>
      <c r="K226" s="237"/>
      <c r="L226" s="237">
        <f t="shared" si="42"/>
        <v>0.33</v>
      </c>
      <c r="M226" s="111"/>
      <c r="N226" s="111"/>
      <c r="O226" s="111"/>
      <c r="P226" s="111"/>
    </row>
    <row r="227" spans="3:16" x14ac:dyDescent="0.3">
      <c r="C227" s="114"/>
      <c r="D227" s="258" t="s">
        <v>901</v>
      </c>
      <c r="E227" s="239" t="s">
        <v>0</v>
      </c>
      <c r="F227" s="242">
        <v>1</v>
      </c>
      <c r="G227" s="236">
        <v>2.95</v>
      </c>
      <c r="H227" s="236">
        <v>0.25</v>
      </c>
      <c r="I227" s="236"/>
      <c r="J227" s="242">
        <v>1</v>
      </c>
      <c r="K227" s="237"/>
      <c r="L227" s="237">
        <f t="shared" si="42"/>
        <v>0.73750000000000004</v>
      </c>
      <c r="M227" s="111"/>
      <c r="N227" s="111"/>
      <c r="O227" s="111"/>
      <c r="P227" s="111"/>
    </row>
    <row r="228" spans="3:16" x14ac:dyDescent="0.3">
      <c r="C228" s="114"/>
      <c r="D228" s="258" t="s">
        <v>902</v>
      </c>
      <c r="E228" s="239" t="s">
        <v>0</v>
      </c>
      <c r="F228" s="242">
        <v>1</v>
      </c>
      <c r="G228" s="236">
        <v>6.4</v>
      </c>
      <c r="H228" s="236">
        <v>0.6</v>
      </c>
      <c r="I228" s="236"/>
      <c r="J228" s="242">
        <v>1</v>
      </c>
      <c r="K228" s="237"/>
      <c r="L228" s="237">
        <f t="shared" si="42"/>
        <v>3.84</v>
      </c>
      <c r="M228" s="111"/>
      <c r="N228" s="111"/>
      <c r="O228" s="111"/>
      <c r="P228" s="111"/>
    </row>
    <row r="229" spans="3:16" x14ac:dyDescent="0.3">
      <c r="C229" s="114"/>
      <c r="D229" s="258" t="s">
        <v>903</v>
      </c>
      <c r="E229" s="239" t="s">
        <v>0</v>
      </c>
      <c r="F229" s="242">
        <v>1</v>
      </c>
      <c r="G229" s="236">
        <v>2.95</v>
      </c>
      <c r="H229" s="236">
        <v>0.25</v>
      </c>
      <c r="I229" s="236"/>
      <c r="J229" s="242">
        <v>1</v>
      </c>
      <c r="K229" s="237"/>
      <c r="L229" s="237">
        <f t="shared" si="42"/>
        <v>0.73750000000000004</v>
      </c>
      <c r="M229" s="111"/>
      <c r="N229" s="111"/>
      <c r="O229" s="111"/>
      <c r="P229" s="111"/>
    </row>
    <row r="230" spans="3:16" x14ac:dyDescent="0.3">
      <c r="C230" s="114"/>
      <c r="D230" s="258" t="s">
        <v>904</v>
      </c>
      <c r="E230" s="239" t="s">
        <v>0</v>
      </c>
      <c r="F230" s="242">
        <v>1</v>
      </c>
      <c r="G230" s="236">
        <v>3.3</v>
      </c>
      <c r="H230" s="236"/>
      <c r="I230" s="236">
        <f>0.1*2</f>
        <v>0.2</v>
      </c>
      <c r="J230" s="242">
        <v>1</v>
      </c>
      <c r="K230" s="237"/>
      <c r="L230" s="237">
        <f t="shared" si="42"/>
        <v>0.66</v>
      </c>
      <c r="M230" s="111"/>
      <c r="N230" s="111"/>
      <c r="O230" s="111"/>
      <c r="P230" s="111"/>
    </row>
    <row r="231" spans="3:16" x14ac:dyDescent="0.3">
      <c r="C231" s="114"/>
      <c r="D231" s="258" t="s">
        <v>905</v>
      </c>
      <c r="E231" s="239" t="s">
        <v>0</v>
      </c>
      <c r="F231" s="242">
        <v>1</v>
      </c>
      <c r="G231" s="236">
        <v>2.95</v>
      </c>
      <c r="H231" s="236">
        <v>0.25</v>
      </c>
      <c r="I231" s="236"/>
      <c r="J231" s="242">
        <v>1</v>
      </c>
      <c r="K231" s="237"/>
      <c r="L231" s="237">
        <f t="shared" si="42"/>
        <v>0.73750000000000004</v>
      </c>
      <c r="M231" s="111"/>
      <c r="N231" s="111"/>
      <c r="O231" s="111"/>
      <c r="P231" s="111"/>
    </row>
    <row r="232" spans="3:16" x14ac:dyDescent="0.3">
      <c r="C232" s="114"/>
      <c r="D232" s="258" t="s">
        <v>906</v>
      </c>
      <c r="E232" s="239" t="s">
        <v>0</v>
      </c>
      <c r="F232" s="242">
        <v>1</v>
      </c>
      <c r="G232" s="236">
        <v>6.4</v>
      </c>
      <c r="H232" s="236">
        <v>0.6</v>
      </c>
      <c r="I232" s="236"/>
      <c r="J232" s="242">
        <v>1</v>
      </c>
      <c r="K232" s="237"/>
      <c r="L232" s="237">
        <f t="shared" si="42"/>
        <v>3.84</v>
      </c>
      <c r="M232" s="111"/>
      <c r="N232" s="111"/>
      <c r="O232" s="111"/>
      <c r="P232" s="111"/>
    </row>
    <row r="233" spans="3:16" x14ac:dyDescent="0.3">
      <c r="C233" s="114"/>
      <c r="D233" s="258" t="s">
        <v>907</v>
      </c>
      <c r="E233" s="239" t="s">
        <v>0</v>
      </c>
      <c r="F233" s="242">
        <v>1</v>
      </c>
      <c r="G233" s="236">
        <v>2.95</v>
      </c>
      <c r="H233" s="236">
        <v>0.25</v>
      </c>
      <c r="I233" s="236"/>
      <c r="J233" s="242">
        <v>1</v>
      </c>
      <c r="K233" s="237"/>
      <c r="L233" s="237">
        <f t="shared" si="42"/>
        <v>0.73750000000000004</v>
      </c>
      <c r="M233" s="111"/>
      <c r="N233" s="111"/>
      <c r="O233" s="111"/>
      <c r="P233" s="111"/>
    </row>
    <row r="234" spans="3:16" x14ac:dyDescent="0.3">
      <c r="C234" s="114"/>
      <c r="D234" s="258" t="s">
        <v>908</v>
      </c>
      <c r="E234" s="239" t="s">
        <v>0</v>
      </c>
      <c r="F234" s="242">
        <v>1</v>
      </c>
      <c r="G234" s="236">
        <v>3.3</v>
      </c>
      <c r="H234" s="236"/>
      <c r="I234" s="236">
        <f>0.1*2</f>
        <v>0.2</v>
      </c>
      <c r="J234" s="242">
        <v>1</v>
      </c>
      <c r="K234" s="237"/>
      <c r="L234" s="237">
        <f t="shared" si="42"/>
        <v>0.66</v>
      </c>
      <c r="M234" s="111"/>
      <c r="N234" s="111"/>
      <c r="O234" s="111"/>
      <c r="P234" s="111"/>
    </row>
    <row r="235" spans="3:16" x14ac:dyDescent="0.3">
      <c r="C235" s="114"/>
      <c r="D235" s="258" t="s">
        <v>909</v>
      </c>
      <c r="E235" s="239" t="s">
        <v>0</v>
      </c>
      <c r="F235" s="242">
        <v>1</v>
      </c>
      <c r="G235" s="236">
        <v>2.95</v>
      </c>
      <c r="H235" s="236">
        <v>0.25</v>
      </c>
      <c r="I235" s="236"/>
      <c r="J235" s="242">
        <v>1</v>
      </c>
      <c r="K235" s="237"/>
      <c r="L235" s="237">
        <f t="shared" si="42"/>
        <v>0.73750000000000004</v>
      </c>
      <c r="M235" s="111"/>
      <c r="N235" s="111"/>
      <c r="O235" s="111"/>
      <c r="P235" s="111"/>
    </row>
    <row r="236" spans="3:16" x14ac:dyDescent="0.3">
      <c r="C236" s="114"/>
      <c r="D236" s="258" t="s">
        <v>910</v>
      </c>
      <c r="E236" s="239" t="s">
        <v>0</v>
      </c>
      <c r="F236" s="242">
        <v>1</v>
      </c>
      <c r="G236" s="236">
        <v>6.4</v>
      </c>
      <c r="H236" s="236">
        <v>0.6</v>
      </c>
      <c r="I236" s="236"/>
      <c r="J236" s="242">
        <v>1</v>
      </c>
      <c r="K236" s="237"/>
      <c r="L236" s="237">
        <f t="shared" si="42"/>
        <v>3.84</v>
      </c>
      <c r="M236" s="111"/>
      <c r="N236" s="111"/>
      <c r="O236" s="111"/>
      <c r="P236" s="111"/>
    </row>
    <row r="237" spans="3:16" x14ac:dyDescent="0.3">
      <c r="C237" s="114"/>
      <c r="D237" s="258" t="s">
        <v>911</v>
      </c>
      <c r="E237" s="239" t="s">
        <v>0</v>
      </c>
      <c r="F237" s="242">
        <v>1</v>
      </c>
      <c r="G237" s="236">
        <v>2.95</v>
      </c>
      <c r="H237" s="236">
        <v>0.25</v>
      </c>
      <c r="I237" s="236"/>
      <c r="J237" s="242">
        <v>1</v>
      </c>
      <c r="K237" s="237"/>
      <c r="L237" s="237">
        <f t="shared" si="42"/>
        <v>0.73750000000000004</v>
      </c>
      <c r="M237" s="111"/>
      <c r="N237" s="111"/>
      <c r="O237" s="111"/>
      <c r="P237" s="111"/>
    </row>
    <row r="238" spans="3:16" x14ac:dyDescent="0.3">
      <c r="C238" s="114"/>
      <c r="D238" s="258" t="s">
        <v>912</v>
      </c>
      <c r="E238" s="239" t="s">
        <v>0</v>
      </c>
      <c r="F238" s="242">
        <v>1</v>
      </c>
      <c r="G238" s="236">
        <v>3.3</v>
      </c>
      <c r="H238" s="236"/>
      <c r="I238" s="236">
        <v>0.1</v>
      </c>
      <c r="J238" s="242">
        <v>1</v>
      </c>
      <c r="K238" s="237"/>
      <c r="L238" s="237">
        <f t="shared" si="42"/>
        <v>0.33</v>
      </c>
      <c r="M238" s="111"/>
      <c r="N238" s="111"/>
      <c r="O238" s="111"/>
      <c r="P238" s="111"/>
    </row>
    <row r="239" spans="3:16" x14ac:dyDescent="0.3">
      <c r="C239" s="114"/>
      <c r="D239" s="258" t="s">
        <v>913</v>
      </c>
      <c r="E239" s="239" t="s">
        <v>0</v>
      </c>
      <c r="F239" s="242">
        <v>1</v>
      </c>
      <c r="G239" s="236">
        <v>2.95</v>
      </c>
      <c r="H239" s="236">
        <v>0.25</v>
      </c>
      <c r="I239" s="236"/>
      <c r="J239" s="242">
        <v>1</v>
      </c>
      <c r="K239" s="237"/>
      <c r="L239" s="237">
        <f t="shared" si="42"/>
        <v>0.73750000000000004</v>
      </c>
      <c r="M239" s="111"/>
      <c r="N239" s="111"/>
      <c r="O239" s="111"/>
      <c r="P239" s="111"/>
    </row>
    <row r="240" spans="3:16" x14ac:dyDescent="0.3">
      <c r="C240" s="114"/>
      <c r="D240" s="233" t="s">
        <v>239</v>
      </c>
      <c r="E240" s="234" t="s">
        <v>0</v>
      </c>
      <c r="F240" s="235">
        <v>18</v>
      </c>
      <c r="G240" s="236">
        <v>0.5</v>
      </c>
      <c r="H240" s="236">
        <v>0.1</v>
      </c>
      <c r="I240" s="236">
        <v>0</v>
      </c>
      <c r="J240" s="235">
        <v>1</v>
      </c>
      <c r="K240" s="237"/>
      <c r="L240" s="237">
        <f t="shared" ref="L240" si="43">((I240)+H240)*F240*G240*J240</f>
        <v>0.9</v>
      </c>
      <c r="M240" s="111"/>
      <c r="N240" s="111"/>
      <c r="O240" s="111"/>
      <c r="P240" s="111"/>
    </row>
    <row r="241" spans="3:16" x14ac:dyDescent="0.3">
      <c r="C241" s="106"/>
      <c r="D241" s="120" t="s">
        <v>106</v>
      </c>
      <c r="E241" s="144"/>
      <c r="F241" s="119"/>
      <c r="G241" s="122"/>
      <c r="H241" s="122"/>
      <c r="I241" s="122" t="s">
        <v>556</v>
      </c>
      <c r="J241" s="119"/>
      <c r="K241" s="113"/>
      <c r="L241" s="113"/>
      <c r="M241" s="113"/>
      <c r="N241" s="113"/>
      <c r="O241" s="113"/>
      <c r="P241" s="113"/>
    </row>
    <row r="242" spans="3:16" x14ac:dyDescent="0.3">
      <c r="C242" s="114"/>
      <c r="D242" s="258" t="s">
        <v>897</v>
      </c>
      <c r="E242" s="239" t="s">
        <v>0</v>
      </c>
      <c r="F242" s="242">
        <v>12</v>
      </c>
      <c r="G242" s="236">
        <v>2.14</v>
      </c>
      <c r="H242" s="236">
        <v>0.35</v>
      </c>
      <c r="I242" s="237">
        <v>0</v>
      </c>
      <c r="J242" s="242">
        <v>1</v>
      </c>
      <c r="K242" s="237"/>
      <c r="L242" s="237">
        <f>((I242)+H242)*F242*G242*J242</f>
        <v>8.9879999999999995</v>
      </c>
      <c r="M242" s="111"/>
      <c r="N242" s="111"/>
      <c r="O242" s="111"/>
      <c r="P242" s="111"/>
    </row>
    <row r="243" spans="3:16" x14ac:dyDescent="0.3">
      <c r="C243" s="114"/>
      <c r="D243" s="258" t="s">
        <v>898</v>
      </c>
      <c r="E243" s="239" t="s">
        <v>0</v>
      </c>
      <c r="F243" s="242">
        <v>6</v>
      </c>
      <c r="G243" s="236">
        <v>3.65</v>
      </c>
      <c r="H243" s="236">
        <v>0.1</v>
      </c>
      <c r="I243" s="237"/>
      <c r="J243" s="242">
        <v>1</v>
      </c>
      <c r="K243" s="237"/>
      <c r="L243" s="237">
        <f>((I243)+H243)*F243*G243*J243</f>
        <v>2.1900000000000004</v>
      </c>
      <c r="M243" s="111"/>
      <c r="N243" s="111"/>
      <c r="O243" s="111"/>
      <c r="P243" s="111"/>
    </row>
    <row r="244" spans="3:16" x14ac:dyDescent="0.3">
      <c r="C244" s="114"/>
      <c r="D244" s="258" t="s">
        <v>899</v>
      </c>
      <c r="E244" s="239" t="s">
        <v>0</v>
      </c>
      <c r="F244" s="242">
        <v>6</v>
      </c>
      <c r="G244" s="236">
        <v>3.65</v>
      </c>
      <c r="H244" s="236"/>
      <c r="I244" s="236">
        <v>0.35</v>
      </c>
      <c r="J244" s="242">
        <v>1</v>
      </c>
      <c r="K244" s="237"/>
      <c r="L244" s="237">
        <f t="shared" ref="L244:L258" si="44">IF(F244="","",PRODUCT(F244:J244))</f>
        <v>7.6649999999999991</v>
      </c>
      <c r="M244" s="111"/>
      <c r="N244" s="111"/>
      <c r="O244" s="111"/>
      <c r="P244" s="111"/>
    </row>
    <row r="245" spans="3:16" x14ac:dyDescent="0.3">
      <c r="C245" s="114"/>
      <c r="D245" s="258" t="s">
        <v>900</v>
      </c>
      <c r="E245" s="239" t="s">
        <v>0</v>
      </c>
      <c r="F245" s="242">
        <v>1</v>
      </c>
      <c r="G245" s="236">
        <v>3.3</v>
      </c>
      <c r="H245" s="236"/>
      <c r="I245" s="236">
        <v>0.1</v>
      </c>
      <c r="J245" s="242">
        <v>1</v>
      </c>
      <c r="K245" s="237"/>
      <c r="L245" s="237">
        <f t="shared" si="44"/>
        <v>0.33</v>
      </c>
      <c r="M245" s="111"/>
      <c r="N245" s="111"/>
      <c r="O245" s="111"/>
      <c r="P245" s="111"/>
    </row>
    <row r="246" spans="3:16" x14ac:dyDescent="0.3">
      <c r="C246" s="114"/>
      <c r="D246" s="258" t="s">
        <v>901</v>
      </c>
      <c r="E246" s="239" t="s">
        <v>0</v>
      </c>
      <c r="F246" s="242">
        <v>1</v>
      </c>
      <c r="G246" s="236">
        <v>2.95</v>
      </c>
      <c r="H246" s="236">
        <v>0.25</v>
      </c>
      <c r="I246" s="236"/>
      <c r="J246" s="242">
        <v>1</v>
      </c>
      <c r="K246" s="237"/>
      <c r="L246" s="237">
        <f t="shared" si="44"/>
        <v>0.73750000000000004</v>
      </c>
      <c r="M246" s="111"/>
      <c r="N246" s="111"/>
      <c r="O246" s="111"/>
      <c r="P246" s="111"/>
    </row>
    <row r="247" spans="3:16" x14ac:dyDescent="0.3">
      <c r="C247" s="114"/>
      <c r="D247" s="258" t="s">
        <v>902</v>
      </c>
      <c r="E247" s="239" t="s">
        <v>0</v>
      </c>
      <c r="F247" s="242">
        <v>1</v>
      </c>
      <c r="G247" s="236">
        <v>6.4</v>
      </c>
      <c r="H247" s="236">
        <v>0.6</v>
      </c>
      <c r="I247" s="236"/>
      <c r="J247" s="242">
        <v>1</v>
      </c>
      <c r="K247" s="237"/>
      <c r="L247" s="237">
        <f t="shared" si="44"/>
        <v>3.84</v>
      </c>
      <c r="M247" s="111"/>
      <c r="N247" s="111"/>
      <c r="O247" s="111"/>
      <c r="P247" s="111"/>
    </row>
    <row r="248" spans="3:16" x14ac:dyDescent="0.3">
      <c r="C248" s="114"/>
      <c r="D248" s="258" t="s">
        <v>903</v>
      </c>
      <c r="E248" s="239" t="s">
        <v>0</v>
      </c>
      <c r="F248" s="242">
        <v>1</v>
      </c>
      <c r="G248" s="236">
        <v>2.95</v>
      </c>
      <c r="H248" s="236">
        <v>0.25</v>
      </c>
      <c r="I248" s="236"/>
      <c r="J248" s="242">
        <v>1</v>
      </c>
      <c r="K248" s="237"/>
      <c r="L248" s="237">
        <f t="shared" si="44"/>
        <v>0.73750000000000004</v>
      </c>
      <c r="M248" s="111"/>
      <c r="N248" s="111"/>
      <c r="O248" s="111"/>
      <c r="P248" s="111"/>
    </row>
    <row r="249" spans="3:16" x14ac:dyDescent="0.3">
      <c r="C249" s="114"/>
      <c r="D249" s="258" t="s">
        <v>904</v>
      </c>
      <c r="E249" s="239" t="s">
        <v>0</v>
      </c>
      <c r="F249" s="242">
        <v>1</v>
      </c>
      <c r="G249" s="236">
        <v>3.3</v>
      </c>
      <c r="H249" s="236"/>
      <c r="I249" s="236">
        <f>0.1*2</f>
        <v>0.2</v>
      </c>
      <c r="J249" s="242">
        <v>1</v>
      </c>
      <c r="K249" s="237"/>
      <c r="L249" s="237">
        <f t="shared" si="44"/>
        <v>0.66</v>
      </c>
      <c r="M249" s="111"/>
      <c r="N249" s="111"/>
      <c r="O249" s="111"/>
      <c r="P249" s="111"/>
    </row>
    <row r="250" spans="3:16" x14ac:dyDescent="0.3">
      <c r="C250" s="114"/>
      <c r="D250" s="258" t="s">
        <v>905</v>
      </c>
      <c r="E250" s="239" t="s">
        <v>0</v>
      </c>
      <c r="F250" s="242">
        <v>1</v>
      </c>
      <c r="G250" s="236">
        <v>2.95</v>
      </c>
      <c r="H250" s="236">
        <v>0.25</v>
      </c>
      <c r="I250" s="236"/>
      <c r="J250" s="242">
        <v>1</v>
      </c>
      <c r="K250" s="237"/>
      <c r="L250" s="237">
        <f t="shared" si="44"/>
        <v>0.73750000000000004</v>
      </c>
      <c r="M250" s="111"/>
      <c r="N250" s="111"/>
      <c r="O250" s="111"/>
      <c r="P250" s="111"/>
    </row>
    <row r="251" spans="3:16" x14ac:dyDescent="0.3">
      <c r="C251" s="114"/>
      <c r="D251" s="258" t="s">
        <v>906</v>
      </c>
      <c r="E251" s="239" t="s">
        <v>0</v>
      </c>
      <c r="F251" s="242">
        <v>1</v>
      </c>
      <c r="G251" s="236">
        <v>6.4</v>
      </c>
      <c r="H251" s="236">
        <v>0.6</v>
      </c>
      <c r="I251" s="236"/>
      <c r="J251" s="242">
        <v>1</v>
      </c>
      <c r="K251" s="237"/>
      <c r="L251" s="237">
        <f t="shared" si="44"/>
        <v>3.84</v>
      </c>
      <c r="M251" s="111"/>
      <c r="N251" s="111"/>
      <c r="O251" s="111"/>
      <c r="P251" s="111"/>
    </row>
    <row r="252" spans="3:16" x14ac:dyDescent="0.3">
      <c r="C252" s="114"/>
      <c r="D252" s="258" t="s">
        <v>907</v>
      </c>
      <c r="E252" s="239" t="s">
        <v>0</v>
      </c>
      <c r="F252" s="242">
        <v>1</v>
      </c>
      <c r="G252" s="236">
        <v>2.95</v>
      </c>
      <c r="H252" s="236">
        <v>0.25</v>
      </c>
      <c r="I252" s="236"/>
      <c r="J252" s="242">
        <v>1</v>
      </c>
      <c r="K252" s="237"/>
      <c r="L252" s="237">
        <f t="shared" si="44"/>
        <v>0.73750000000000004</v>
      </c>
      <c r="M252" s="111"/>
      <c r="N252" s="111"/>
      <c r="O252" s="111"/>
      <c r="P252" s="111"/>
    </row>
    <row r="253" spans="3:16" x14ac:dyDescent="0.3">
      <c r="C253" s="114"/>
      <c r="D253" s="258" t="s">
        <v>908</v>
      </c>
      <c r="E253" s="239" t="s">
        <v>0</v>
      </c>
      <c r="F253" s="242">
        <v>1</v>
      </c>
      <c r="G253" s="236">
        <v>3.3</v>
      </c>
      <c r="H253" s="236"/>
      <c r="I253" s="236">
        <f>0.1*2</f>
        <v>0.2</v>
      </c>
      <c r="J253" s="242">
        <v>1</v>
      </c>
      <c r="K253" s="237"/>
      <c r="L253" s="237">
        <f t="shared" si="44"/>
        <v>0.66</v>
      </c>
      <c r="M253" s="111"/>
      <c r="N253" s="111"/>
      <c r="O253" s="111"/>
      <c r="P253" s="111"/>
    </row>
    <row r="254" spans="3:16" x14ac:dyDescent="0.3">
      <c r="C254" s="114"/>
      <c r="D254" s="258" t="s">
        <v>909</v>
      </c>
      <c r="E254" s="239" t="s">
        <v>0</v>
      </c>
      <c r="F254" s="242">
        <v>1</v>
      </c>
      <c r="G254" s="236">
        <v>2.95</v>
      </c>
      <c r="H254" s="236">
        <v>0.25</v>
      </c>
      <c r="I254" s="236"/>
      <c r="J254" s="242">
        <v>1</v>
      </c>
      <c r="K254" s="237"/>
      <c r="L254" s="237">
        <f t="shared" si="44"/>
        <v>0.73750000000000004</v>
      </c>
      <c r="M254" s="111"/>
      <c r="N254" s="111"/>
      <c r="O254" s="111"/>
      <c r="P254" s="111"/>
    </row>
    <row r="255" spans="3:16" x14ac:dyDescent="0.3">
      <c r="C255" s="114"/>
      <c r="D255" s="258" t="s">
        <v>910</v>
      </c>
      <c r="E255" s="239" t="s">
        <v>0</v>
      </c>
      <c r="F255" s="242">
        <v>1</v>
      </c>
      <c r="G255" s="236">
        <v>6.4</v>
      </c>
      <c r="H255" s="236">
        <v>0.6</v>
      </c>
      <c r="I255" s="236"/>
      <c r="J255" s="242">
        <v>1</v>
      </c>
      <c r="K255" s="237"/>
      <c r="L255" s="237">
        <f t="shared" si="44"/>
        <v>3.84</v>
      </c>
      <c r="M255" s="111"/>
      <c r="N255" s="111"/>
      <c r="O255" s="111"/>
      <c r="P255" s="111"/>
    </row>
    <row r="256" spans="3:16" x14ac:dyDescent="0.3">
      <c r="C256" s="114"/>
      <c r="D256" s="258" t="s">
        <v>911</v>
      </c>
      <c r="E256" s="239" t="s">
        <v>0</v>
      </c>
      <c r="F256" s="242">
        <v>1</v>
      </c>
      <c r="G256" s="236">
        <v>2.95</v>
      </c>
      <c r="H256" s="236">
        <v>0.25</v>
      </c>
      <c r="I256" s="236"/>
      <c r="J256" s="242">
        <v>1</v>
      </c>
      <c r="K256" s="237"/>
      <c r="L256" s="237">
        <f t="shared" si="44"/>
        <v>0.73750000000000004</v>
      </c>
      <c r="M256" s="111"/>
      <c r="N256" s="111"/>
      <c r="O256" s="111"/>
      <c r="P256" s="111"/>
    </row>
    <row r="257" spans="3:16" x14ac:dyDescent="0.3">
      <c r="C257" s="114"/>
      <c r="D257" s="258" t="s">
        <v>912</v>
      </c>
      <c r="E257" s="239" t="s">
        <v>0</v>
      </c>
      <c r="F257" s="242">
        <v>1</v>
      </c>
      <c r="G257" s="236">
        <v>3.3</v>
      </c>
      <c r="H257" s="236"/>
      <c r="I257" s="236">
        <v>0.1</v>
      </c>
      <c r="J257" s="242">
        <v>1</v>
      </c>
      <c r="K257" s="237"/>
      <c r="L257" s="237">
        <f t="shared" si="44"/>
        <v>0.33</v>
      </c>
      <c r="M257" s="111"/>
      <c r="N257" s="111"/>
      <c r="O257" s="111"/>
      <c r="P257" s="111"/>
    </row>
    <row r="258" spans="3:16" x14ac:dyDescent="0.3">
      <c r="C258" s="114"/>
      <c r="D258" s="258" t="s">
        <v>913</v>
      </c>
      <c r="E258" s="239" t="s">
        <v>0</v>
      </c>
      <c r="F258" s="242">
        <v>1</v>
      </c>
      <c r="G258" s="236">
        <v>2.95</v>
      </c>
      <c r="H258" s="236">
        <v>0.25</v>
      </c>
      <c r="I258" s="236"/>
      <c r="J258" s="242">
        <v>1</v>
      </c>
      <c r="K258" s="237"/>
      <c r="L258" s="237">
        <f t="shared" si="44"/>
        <v>0.73750000000000004</v>
      </c>
      <c r="M258" s="111"/>
      <c r="N258" s="111"/>
      <c r="O258" s="111"/>
      <c r="P258" s="111"/>
    </row>
    <row r="259" spans="3:16" x14ac:dyDescent="0.3">
      <c r="C259" s="114"/>
      <c r="D259" s="233" t="s">
        <v>239</v>
      </c>
      <c r="E259" s="234" t="s">
        <v>0</v>
      </c>
      <c r="F259" s="235">
        <v>18</v>
      </c>
      <c r="G259" s="236">
        <v>0.5</v>
      </c>
      <c r="H259" s="236">
        <v>0.1</v>
      </c>
      <c r="I259" s="236">
        <v>0</v>
      </c>
      <c r="J259" s="235">
        <v>1</v>
      </c>
      <c r="K259" s="237"/>
      <c r="L259" s="237">
        <f t="shared" ref="L259" si="45">((I259)+H259)*F259*G259*J259</f>
        <v>0.9</v>
      </c>
      <c r="M259" s="111"/>
      <c r="N259" s="111"/>
      <c r="O259" s="111"/>
      <c r="P259" s="111"/>
    </row>
    <row r="260" spans="3:16" x14ac:dyDescent="0.3">
      <c r="C260" s="106"/>
      <c r="D260" s="140" t="s">
        <v>51</v>
      </c>
      <c r="E260" s="144"/>
      <c r="F260" s="119"/>
      <c r="G260" s="122"/>
      <c r="H260" s="122"/>
      <c r="I260" s="122" t="s">
        <v>556</v>
      </c>
      <c r="J260" s="119"/>
      <c r="K260" s="113"/>
      <c r="L260" s="113"/>
      <c r="M260" s="113"/>
      <c r="N260" s="113"/>
      <c r="O260" s="113"/>
      <c r="P260" s="113"/>
    </row>
    <row r="261" spans="3:16" x14ac:dyDescent="0.3">
      <c r="C261" s="114"/>
      <c r="D261" s="258" t="s">
        <v>914</v>
      </c>
      <c r="E261" s="239" t="s">
        <v>0</v>
      </c>
      <c r="F261" s="242">
        <v>12</v>
      </c>
      <c r="G261" s="236">
        <v>2.14</v>
      </c>
      <c r="H261" s="236">
        <v>0.35</v>
      </c>
      <c r="I261" s="237"/>
      <c r="J261" s="242">
        <v>1</v>
      </c>
      <c r="K261" s="237"/>
      <c r="L261" s="237">
        <f>((I261)+H261)*F261*G261*J261</f>
        <v>8.9879999999999995</v>
      </c>
      <c r="M261" s="111"/>
      <c r="N261" s="111"/>
      <c r="O261" s="111"/>
      <c r="P261" s="111"/>
    </row>
    <row r="262" spans="3:16" x14ac:dyDescent="0.3">
      <c r="C262" s="114"/>
      <c r="D262" s="258" t="s">
        <v>915</v>
      </c>
      <c r="E262" s="239" t="s">
        <v>0</v>
      </c>
      <c r="F262" s="242">
        <v>6</v>
      </c>
      <c r="G262" s="236">
        <v>3.65</v>
      </c>
      <c r="H262" s="236">
        <v>0.35</v>
      </c>
      <c r="I262" s="236"/>
      <c r="J262" s="242">
        <v>1</v>
      </c>
      <c r="K262" s="237"/>
      <c r="L262" s="237">
        <f t="shared" ref="L262:L269" si="46">IF(F262="","",PRODUCT(F262:J262))</f>
        <v>7.6649999999999991</v>
      </c>
      <c r="M262" s="111"/>
      <c r="N262" s="111"/>
      <c r="O262" s="111"/>
      <c r="P262" s="111"/>
    </row>
    <row r="263" spans="3:16" x14ac:dyDescent="0.3">
      <c r="C263" s="114"/>
      <c r="D263" s="258" t="s">
        <v>916</v>
      </c>
      <c r="E263" s="239" t="s">
        <v>0</v>
      </c>
      <c r="F263" s="242">
        <v>1</v>
      </c>
      <c r="G263" s="236">
        <v>9.6999999999999993</v>
      </c>
      <c r="H263" s="236">
        <v>0.25</v>
      </c>
      <c r="I263" s="236">
        <v>0.6</v>
      </c>
      <c r="J263" s="242">
        <v>1</v>
      </c>
      <c r="K263" s="237"/>
      <c r="L263" s="237">
        <f t="shared" si="46"/>
        <v>1.4549999999999998</v>
      </c>
      <c r="M263" s="111"/>
      <c r="N263" s="111"/>
      <c r="O263" s="111"/>
      <c r="P263" s="111"/>
    </row>
    <row r="264" spans="3:16" x14ac:dyDescent="0.3">
      <c r="C264" s="114"/>
      <c r="D264" s="258" t="s">
        <v>917</v>
      </c>
      <c r="E264" s="239" t="s">
        <v>0</v>
      </c>
      <c r="F264" s="242">
        <v>1</v>
      </c>
      <c r="G264" s="236">
        <v>9.6999999999999993</v>
      </c>
      <c r="H264" s="236">
        <v>0.25</v>
      </c>
      <c r="I264" s="236">
        <f t="shared" ref="I264:I268" si="47">0.6*2</f>
        <v>1.2</v>
      </c>
      <c r="J264" s="242">
        <v>1</v>
      </c>
      <c r="K264" s="237"/>
      <c r="L264" s="237">
        <f t="shared" si="46"/>
        <v>2.9099999999999997</v>
      </c>
      <c r="M264" s="111"/>
      <c r="N264" s="111"/>
      <c r="O264" s="111"/>
      <c r="P264" s="111"/>
    </row>
    <row r="265" spans="3:16" x14ac:dyDescent="0.3">
      <c r="C265" s="114"/>
      <c r="D265" s="258" t="s">
        <v>918</v>
      </c>
      <c r="E265" s="239" t="s">
        <v>0</v>
      </c>
      <c r="F265" s="242">
        <v>1</v>
      </c>
      <c r="G265" s="236">
        <v>9.6999999999999993</v>
      </c>
      <c r="H265" s="236">
        <v>0.25</v>
      </c>
      <c r="I265" s="236">
        <f t="shared" si="47"/>
        <v>1.2</v>
      </c>
      <c r="J265" s="242">
        <v>1</v>
      </c>
      <c r="K265" s="237"/>
      <c r="L265" s="237">
        <f t="shared" si="46"/>
        <v>2.9099999999999997</v>
      </c>
      <c r="M265" s="111"/>
      <c r="N265" s="111"/>
      <c r="O265" s="111"/>
      <c r="P265" s="111"/>
    </row>
    <row r="266" spans="3:16" x14ac:dyDescent="0.3">
      <c r="C266" s="114"/>
      <c r="D266" s="258" t="s">
        <v>919</v>
      </c>
      <c r="E266" s="239" t="s">
        <v>0</v>
      </c>
      <c r="F266" s="242">
        <v>1</v>
      </c>
      <c r="G266" s="236">
        <v>9.6999999999999993</v>
      </c>
      <c r="H266" s="236">
        <v>0.25</v>
      </c>
      <c r="I266" s="236">
        <f t="shared" si="47"/>
        <v>1.2</v>
      </c>
      <c r="J266" s="242">
        <v>1</v>
      </c>
      <c r="K266" s="237"/>
      <c r="L266" s="237">
        <f t="shared" si="46"/>
        <v>2.9099999999999997</v>
      </c>
      <c r="M266" s="111"/>
      <c r="N266" s="111"/>
      <c r="O266" s="111"/>
      <c r="P266" s="111"/>
    </row>
    <row r="267" spans="3:16" x14ac:dyDescent="0.3">
      <c r="C267" s="114"/>
      <c r="D267" s="258" t="s">
        <v>920</v>
      </c>
      <c r="E267" s="239" t="s">
        <v>0</v>
      </c>
      <c r="F267" s="242">
        <v>1</v>
      </c>
      <c r="G267" s="236">
        <v>9.6999999999999993</v>
      </c>
      <c r="H267" s="236">
        <v>0.25</v>
      </c>
      <c r="I267" s="236">
        <f t="shared" si="47"/>
        <v>1.2</v>
      </c>
      <c r="J267" s="242">
        <v>1</v>
      </c>
      <c r="K267" s="237"/>
      <c r="L267" s="237">
        <f t="shared" si="46"/>
        <v>2.9099999999999997</v>
      </c>
      <c r="M267" s="111"/>
      <c r="N267" s="111"/>
      <c r="O267" s="111"/>
      <c r="P267" s="111"/>
    </row>
    <row r="268" spans="3:16" x14ac:dyDescent="0.3">
      <c r="C268" s="114"/>
      <c r="D268" s="258" t="s">
        <v>921</v>
      </c>
      <c r="E268" s="239" t="s">
        <v>0</v>
      </c>
      <c r="F268" s="242">
        <v>1</v>
      </c>
      <c r="G268" s="236">
        <v>9.6999999999999993</v>
      </c>
      <c r="H268" s="236">
        <v>0.25</v>
      </c>
      <c r="I268" s="236">
        <f t="shared" si="47"/>
        <v>1.2</v>
      </c>
      <c r="J268" s="242">
        <v>1</v>
      </c>
      <c r="K268" s="237"/>
      <c r="L268" s="237">
        <f t="shared" si="46"/>
        <v>2.9099999999999997</v>
      </c>
      <c r="M268" s="111"/>
      <c r="N268" s="111"/>
      <c r="O268" s="111"/>
      <c r="P268" s="111"/>
    </row>
    <row r="269" spans="3:16" x14ac:dyDescent="0.3">
      <c r="C269" s="114"/>
      <c r="D269" s="258" t="s">
        <v>922</v>
      </c>
      <c r="E269" s="239" t="s">
        <v>0</v>
      </c>
      <c r="F269" s="242">
        <v>1</v>
      </c>
      <c r="G269" s="236">
        <v>9.6999999999999993</v>
      </c>
      <c r="H269" s="236">
        <v>0.25</v>
      </c>
      <c r="I269" s="236">
        <v>0.6</v>
      </c>
      <c r="J269" s="242">
        <v>1</v>
      </c>
      <c r="K269" s="237"/>
      <c r="L269" s="237">
        <f t="shared" si="46"/>
        <v>1.4549999999999998</v>
      </c>
      <c r="M269" s="111"/>
      <c r="N269" s="111"/>
      <c r="O269" s="111"/>
      <c r="P269" s="111"/>
    </row>
    <row r="270" spans="3:16" x14ac:dyDescent="0.3">
      <c r="C270" s="114"/>
      <c r="D270" s="233" t="s">
        <v>923</v>
      </c>
      <c r="E270" s="234" t="s">
        <v>0</v>
      </c>
      <c r="F270" s="235">
        <v>7</v>
      </c>
      <c r="G270" s="236">
        <v>1.2</v>
      </c>
      <c r="H270" s="236">
        <v>0.25</v>
      </c>
      <c r="I270" s="236"/>
      <c r="J270" s="235">
        <v>1</v>
      </c>
      <c r="K270" s="237"/>
      <c r="L270" s="237">
        <f t="shared" ref="L270:L272" si="48">((I270)+H270)*F270*G270*J270</f>
        <v>2.1</v>
      </c>
      <c r="M270" s="111"/>
      <c r="N270" s="111"/>
      <c r="O270" s="111"/>
      <c r="P270" s="111"/>
    </row>
    <row r="271" spans="3:16" x14ac:dyDescent="0.3">
      <c r="C271" s="114"/>
      <c r="D271" s="233"/>
      <c r="E271" s="234" t="s">
        <v>0</v>
      </c>
      <c r="F271" s="235">
        <v>2</v>
      </c>
      <c r="G271" s="236">
        <v>4.53</v>
      </c>
      <c r="H271" s="236">
        <v>0.25</v>
      </c>
      <c r="I271" s="236">
        <v>0.35</v>
      </c>
      <c r="J271" s="235">
        <v>1</v>
      </c>
      <c r="K271" s="237"/>
      <c r="L271" s="237">
        <f t="shared" si="48"/>
        <v>5.4359999999999999</v>
      </c>
      <c r="M271" s="111"/>
      <c r="N271" s="111"/>
      <c r="O271" s="111"/>
      <c r="P271" s="111"/>
    </row>
    <row r="272" spans="3:16" x14ac:dyDescent="0.3">
      <c r="C272" s="114"/>
      <c r="D272" s="233"/>
      <c r="E272" s="234" t="s">
        <v>0</v>
      </c>
      <c r="F272" s="235">
        <v>4</v>
      </c>
      <c r="G272" s="236">
        <v>4.5</v>
      </c>
      <c r="H272" s="236">
        <v>0.25</v>
      </c>
      <c r="I272" s="236">
        <v>0.35</v>
      </c>
      <c r="J272" s="235">
        <v>1</v>
      </c>
      <c r="K272" s="237"/>
      <c r="L272" s="237">
        <f t="shared" si="48"/>
        <v>10.799999999999999</v>
      </c>
      <c r="M272" s="111"/>
      <c r="N272" s="111"/>
      <c r="O272" s="111"/>
      <c r="P272" s="111"/>
    </row>
    <row r="273" spans="3:16" ht="14.4" x14ac:dyDescent="0.3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3:16" x14ac:dyDescent="0.3">
      <c r="C274" s="99" t="s">
        <v>1184</v>
      </c>
      <c r="D274" s="100" t="s">
        <v>420</v>
      </c>
      <c r="E274" s="132" t="s">
        <v>0</v>
      </c>
      <c r="F274" s="136"/>
      <c r="G274" s="2"/>
      <c r="H274" s="2"/>
      <c r="I274" s="2"/>
      <c r="J274" s="102"/>
      <c r="K274" s="103"/>
      <c r="L274" s="103"/>
      <c r="M274" s="103"/>
      <c r="N274" s="103"/>
      <c r="O274" s="103"/>
      <c r="P274" s="103">
        <f>SUM(L274:L299)</f>
        <v>100.95299999999999</v>
      </c>
    </row>
    <row r="275" spans="3:16" x14ac:dyDescent="0.3">
      <c r="C275" s="106"/>
      <c r="D275" s="295" t="s">
        <v>127</v>
      </c>
      <c r="E275" s="296"/>
      <c r="F275" s="297"/>
      <c r="G275" s="274"/>
      <c r="H275" s="274"/>
      <c r="I275" s="274"/>
      <c r="J275" s="297"/>
      <c r="K275" s="274"/>
      <c r="L275" s="231"/>
      <c r="M275" s="113"/>
      <c r="N275" s="113"/>
      <c r="O275" s="113"/>
      <c r="P275" s="113"/>
    </row>
    <row r="276" spans="3:16" x14ac:dyDescent="0.3">
      <c r="C276" s="118"/>
      <c r="D276" s="298" t="s">
        <v>266</v>
      </c>
      <c r="E276" s="299"/>
      <c r="F276" s="300"/>
      <c r="G276" s="283"/>
      <c r="H276" s="283"/>
      <c r="I276" s="283"/>
      <c r="J276" s="297"/>
      <c r="K276" s="274"/>
      <c r="L276" s="231"/>
      <c r="M276" s="113"/>
      <c r="N276" s="113"/>
      <c r="O276" s="113"/>
      <c r="P276" s="113"/>
    </row>
    <row r="277" spans="3:16" x14ac:dyDescent="0.3">
      <c r="C277" s="114"/>
      <c r="D277" s="266" t="s">
        <v>137</v>
      </c>
      <c r="E277" s="239" t="s">
        <v>0</v>
      </c>
      <c r="F277" s="270">
        <v>3</v>
      </c>
      <c r="G277" s="236">
        <v>0.15</v>
      </c>
      <c r="H277" s="268">
        <v>2.4500000000000002</v>
      </c>
      <c r="I277" s="268">
        <v>0.85</v>
      </c>
      <c r="J277" s="270">
        <v>1</v>
      </c>
      <c r="K277" s="268"/>
      <c r="L277" s="237">
        <f t="shared" ref="L277:L279" si="49">((H277+I277)*2)*F277*G277*J277</f>
        <v>2.97</v>
      </c>
      <c r="M277" s="111"/>
      <c r="N277" s="111"/>
      <c r="O277" s="111"/>
      <c r="P277" s="111"/>
    </row>
    <row r="278" spans="3:16" x14ac:dyDescent="0.3">
      <c r="C278" s="114"/>
      <c r="D278" s="266" t="s">
        <v>267</v>
      </c>
      <c r="E278" s="239" t="s">
        <v>0</v>
      </c>
      <c r="F278" s="270">
        <v>3</v>
      </c>
      <c r="G278" s="236">
        <v>0.15</v>
      </c>
      <c r="H278" s="268">
        <v>3.65</v>
      </c>
      <c r="I278" s="268">
        <v>0.85</v>
      </c>
      <c r="J278" s="270">
        <v>1</v>
      </c>
      <c r="K278" s="268"/>
      <c r="L278" s="237">
        <f t="shared" si="49"/>
        <v>4.05</v>
      </c>
      <c r="M278" s="111"/>
      <c r="N278" s="111"/>
      <c r="O278" s="111"/>
      <c r="P278" s="111"/>
    </row>
    <row r="279" spans="3:16" x14ac:dyDescent="0.3">
      <c r="C279" s="114"/>
      <c r="D279" s="266" t="s">
        <v>139</v>
      </c>
      <c r="E279" s="239" t="s">
        <v>0</v>
      </c>
      <c r="F279" s="270">
        <v>18</v>
      </c>
      <c r="G279" s="236">
        <v>0.15</v>
      </c>
      <c r="H279" s="268">
        <v>0.55000000000000004</v>
      </c>
      <c r="I279" s="268">
        <v>12.17</v>
      </c>
      <c r="J279" s="270">
        <v>1</v>
      </c>
      <c r="K279" s="268"/>
      <c r="L279" s="237">
        <f t="shared" si="49"/>
        <v>68.688000000000002</v>
      </c>
      <c r="M279" s="111"/>
      <c r="N279" s="111"/>
      <c r="O279" s="111"/>
      <c r="P279" s="111"/>
    </row>
    <row r="280" spans="3:16" x14ac:dyDescent="0.3">
      <c r="C280" s="106"/>
      <c r="D280" s="295"/>
      <c r="E280" s="296"/>
      <c r="F280" s="297"/>
      <c r="G280" s="274"/>
      <c r="H280" s="274"/>
      <c r="I280" s="274"/>
      <c r="J280" s="297"/>
      <c r="K280" s="274"/>
      <c r="L280" s="231"/>
      <c r="M280" s="113"/>
      <c r="N280" s="113"/>
      <c r="O280" s="113"/>
      <c r="P280" s="113"/>
    </row>
    <row r="281" spans="3:16" x14ac:dyDescent="0.3">
      <c r="C281" s="118"/>
      <c r="D281" s="298" t="s">
        <v>129</v>
      </c>
      <c r="E281" s="299"/>
      <c r="F281" s="300"/>
      <c r="G281" s="283"/>
      <c r="H281" s="283"/>
      <c r="I281" s="283"/>
      <c r="J281" s="297"/>
      <c r="K281" s="274"/>
      <c r="L281" s="231"/>
      <c r="M281" s="113"/>
      <c r="N281" s="113"/>
      <c r="O281" s="113"/>
      <c r="P281" s="113"/>
    </row>
    <row r="282" spans="3:16" x14ac:dyDescent="0.3">
      <c r="C282" s="114"/>
      <c r="D282" s="266" t="s">
        <v>135</v>
      </c>
      <c r="E282" s="239" t="s">
        <v>0</v>
      </c>
      <c r="F282" s="270">
        <v>3</v>
      </c>
      <c r="G282" s="236">
        <v>0.15</v>
      </c>
      <c r="H282" s="268">
        <v>1.2</v>
      </c>
      <c r="I282" s="268">
        <v>2.95</v>
      </c>
      <c r="J282" s="270">
        <v>1</v>
      </c>
      <c r="K282" s="268"/>
      <c r="L282" s="237">
        <f t="shared" ref="L282" si="50">((H282+I282)*2)*F282*G282*J282</f>
        <v>3.7350000000000003</v>
      </c>
      <c r="M282" s="111"/>
      <c r="N282" s="111"/>
      <c r="O282" s="111"/>
      <c r="P282" s="111"/>
    </row>
    <row r="283" spans="3:16" x14ac:dyDescent="0.3">
      <c r="C283" s="106"/>
      <c r="D283" s="295"/>
      <c r="E283" s="296"/>
      <c r="F283" s="297"/>
      <c r="G283" s="274"/>
      <c r="H283" s="274"/>
      <c r="I283" s="274"/>
      <c r="J283" s="297"/>
      <c r="K283" s="274"/>
      <c r="L283" s="231"/>
      <c r="M283" s="113"/>
      <c r="N283" s="113"/>
      <c r="O283" s="113"/>
      <c r="P283" s="113"/>
    </row>
    <row r="284" spans="3:16" x14ac:dyDescent="0.3">
      <c r="C284" s="106"/>
      <c r="D284" s="295" t="s">
        <v>68</v>
      </c>
      <c r="E284" s="296"/>
      <c r="F284" s="297"/>
      <c r="G284" s="274"/>
      <c r="H284" s="274"/>
      <c r="I284" s="274"/>
      <c r="J284" s="297"/>
      <c r="K284" s="274"/>
      <c r="L284" s="231"/>
      <c r="M284" s="113"/>
      <c r="N284" s="113"/>
      <c r="O284" s="113"/>
      <c r="P284" s="113"/>
    </row>
    <row r="285" spans="3:16" x14ac:dyDescent="0.3">
      <c r="C285" s="118"/>
      <c r="D285" s="298" t="s">
        <v>266</v>
      </c>
      <c r="E285" s="299"/>
      <c r="F285" s="300"/>
      <c r="G285" s="283"/>
      <c r="H285" s="283"/>
      <c r="I285" s="283"/>
      <c r="J285" s="297"/>
      <c r="K285" s="274"/>
      <c r="L285" s="231"/>
      <c r="M285" s="113"/>
      <c r="N285" s="113"/>
      <c r="O285" s="113"/>
      <c r="P285" s="113"/>
    </row>
    <row r="286" spans="3:16" x14ac:dyDescent="0.3">
      <c r="C286" s="114"/>
      <c r="D286" s="266" t="s">
        <v>137</v>
      </c>
      <c r="E286" s="239" t="s">
        <v>0</v>
      </c>
      <c r="F286" s="270">
        <v>3</v>
      </c>
      <c r="G286" s="236">
        <v>0.15</v>
      </c>
      <c r="H286" s="268">
        <v>2.4500000000000002</v>
      </c>
      <c r="I286" s="268">
        <v>0.85</v>
      </c>
      <c r="J286" s="270">
        <v>1</v>
      </c>
      <c r="K286" s="268"/>
      <c r="L286" s="237">
        <f t="shared" ref="L286:L287" si="51">((H286+I286)*2)*F286*G286*J286</f>
        <v>2.97</v>
      </c>
      <c r="M286" s="111"/>
      <c r="N286" s="111"/>
      <c r="O286" s="111"/>
      <c r="P286" s="111"/>
    </row>
    <row r="287" spans="3:16" x14ac:dyDescent="0.3">
      <c r="C287" s="114"/>
      <c r="D287" s="266" t="s">
        <v>267</v>
      </c>
      <c r="E287" s="239" t="s">
        <v>0</v>
      </c>
      <c r="F287" s="270">
        <v>3</v>
      </c>
      <c r="G287" s="236">
        <v>0.15</v>
      </c>
      <c r="H287" s="268">
        <v>3.65</v>
      </c>
      <c r="I287" s="268">
        <v>0.85</v>
      </c>
      <c r="J287" s="270">
        <v>1</v>
      </c>
      <c r="K287" s="268"/>
      <c r="L287" s="237">
        <f t="shared" si="51"/>
        <v>4.05</v>
      </c>
      <c r="M287" s="111"/>
      <c r="N287" s="111"/>
      <c r="O287" s="111"/>
      <c r="P287" s="111"/>
    </row>
    <row r="288" spans="3:16" x14ac:dyDescent="0.3">
      <c r="C288" s="106"/>
      <c r="D288" s="295"/>
      <c r="E288" s="296"/>
      <c r="F288" s="297"/>
      <c r="G288" s="274"/>
      <c r="H288" s="274"/>
      <c r="I288" s="274"/>
      <c r="J288" s="297"/>
      <c r="K288" s="274"/>
      <c r="L288" s="231"/>
      <c r="M288" s="113"/>
      <c r="N288" s="113"/>
      <c r="O288" s="113"/>
      <c r="P288" s="113"/>
    </row>
    <row r="289" spans="3:16" x14ac:dyDescent="0.3">
      <c r="C289" s="118"/>
      <c r="D289" s="298" t="s">
        <v>129</v>
      </c>
      <c r="E289" s="299"/>
      <c r="F289" s="300"/>
      <c r="G289" s="283"/>
      <c r="H289" s="283"/>
      <c r="I289" s="283"/>
      <c r="J289" s="297"/>
      <c r="K289" s="274"/>
      <c r="L289" s="231"/>
      <c r="M289" s="113"/>
      <c r="N289" s="113"/>
      <c r="O289" s="113"/>
      <c r="P289" s="113"/>
    </row>
    <row r="290" spans="3:16" x14ac:dyDescent="0.3">
      <c r="C290" s="114"/>
      <c r="D290" s="266" t="s">
        <v>135</v>
      </c>
      <c r="E290" s="239" t="s">
        <v>0</v>
      </c>
      <c r="F290" s="270">
        <v>3</v>
      </c>
      <c r="G290" s="236">
        <v>0.15</v>
      </c>
      <c r="H290" s="268">
        <v>1.2</v>
      </c>
      <c r="I290" s="268">
        <v>2.95</v>
      </c>
      <c r="J290" s="270">
        <v>1</v>
      </c>
      <c r="K290" s="268"/>
      <c r="L290" s="237">
        <f t="shared" ref="L290" si="52">((H290+I290)*2)*F290*G290*J290</f>
        <v>3.7350000000000003</v>
      </c>
      <c r="M290" s="111"/>
      <c r="N290" s="111"/>
      <c r="O290" s="111"/>
      <c r="P290" s="111"/>
    </row>
    <row r="291" spans="3:16" x14ac:dyDescent="0.3">
      <c r="C291" s="106"/>
      <c r="D291" s="295"/>
      <c r="E291" s="296"/>
      <c r="F291" s="297"/>
      <c r="G291" s="274"/>
      <c r="H291" s="274"/>
      <c r="I291" s="274"/>
      <c r="J291" s="297"/>
      <c r="K291" s="274"/>
      <c r="L291" s="231"/>
      <c r="M291" s="113"/>
      <c r="N291" s="113"/>
      <c r="O291" s="113"/>
      <c r="P291" s="113"/>
    </row>
    <row r="292" spans="3:16" x14ac:dyDescent="0.3">
      <c r="C292" s="106"/>
      <c r="D292" s="295" t="s">
        <v>106</v>
      </c>
      <c r="E292" s="296"/>
      <c r="F292" s="297"/>
      <c r="G292" s="274"/>
      <c r="H292" s="274"/>
      <c r="I292" s="274"/>
      <c r="J292" s="297"/>
      <c r="K292" s="274"/>
      <c r="L292" s="231"/>
      <c r="M292" s="113"/>
      <c r="N292" s="113"/>
      <c r="O292" s="113"/>
      <c r="P292" s="113"/>
    </row>
    <row r="293" spans="3:16" x14ac:dyDescent="0.3">
      <c r="C293" s="118"/>
      <c r="D293" s="298" t="s">
        <v>266</v>
      </c>
      <c r="E293" s="299"/>
      <c r="F293" s="300"/>
      <c r="G293" s="283"/>
      <c r="H293" s="283"/>
      <c r="I293" s="283"/>
      <c r="J293" s="297"/>
      <c r="K293" s="274"/>
      <c r="L293" s="231"/>
      <c r="M293" s="113"/>
      <c r="N293" s="113"/>
      <c r="O293" s="113"/>
      <c r="P293" s="113"/>
    </row>
    <row r="294" spans="3:16" x14ac:dyDescent="0.3">
      <c r="C294" s="114"/>
      <c r="D294" s="266" t="s">
        <v>137</v>
      </c>
      <c r="E294" s="239" t="s">
        <v>0</v>
      </c>
      <c r="F294" s="270">
        <v>3</v>
      </c>
      <c r="G294" s="236">
        <v>0.15</v>
      </c>
      <c r="H294" s="268">
        <v>2.4500000000000002</v>
      </c>
      <c r="I294" s="268">
        <v>0.85</v>
      </c>
      <c r="J294" s="270">
        <v>1</v>
      </c>
      <c r="K294" s="268"/>
      <c r="L294" s="237">
        <f t="shared" ref="L294:L295" si="53">((H294+I294)*2)*F294*G294*J294</f>
        <v>2.97</v>
      </c>
      <c r="M294" s="111"/>
      <c r="N294" s="111"/>
      <c r="O294" s="111"/>
      <c r="P294" s="111"/>
    </row>
    <row r="295" spans="3:16" x14ac:dyDescent="0.3">
      <c r="C295" s="114"/>
      <c r="D295" s="266" t="s">
        <v>267</v>
      </c>
      <c r="E295" s="239" t="s">
        <v>0</v>
      </c>
      <c r="F295" s="270">
        <v>3</v>
      </c>
      <c r="G295" s="236">
        <v>0.15</v>
      </c>
      <c r="H295" s="268">
        <v>3.65</v>
      </c>
      <c r="I295" s="268">
        <v>0.85</v>
      </c>
      <c r="J295" s="270">
        <v>1</v>
      </c>
      <c r="K295" s="268"/>
      <c r="L295" s="237">
        <f t="shared" si="53"/>
        <v>4.05</v>
      </c>
      <c r="M295" s="111"/>
      <c r="N295" s="111"/>
      <c r="O295" s="111"/>
      <c r="P295" s="111"/>
    </row>
    <row r="296" spans="3:16" x14ac:dyDescent="0.3">
      <c r="C296" s="106"/>
      <c r="D296" s="295"/>
      <c r="E296" s="296"/>
      <c r="F296" s="297"/>
      <c r="G296" s="274"/>
      <c r="H296" s="274"/>
      <c r="I296" s="274"/>
      <c r="J296" s="297"/>
      <c r="K296" s="274"/>
      <c r="L296" s="231"/>
      <c r="M296" s="113"/>
      <c r="N296" s="113"/>
      <c r="O296" s="113"/>
      <c r="P296" s="113"/>
    </row>
    <row r="297" spans="3:16" x14ac:dyDescent="0.3">
      <c r="C297" s="118"/>
      <c r="D297" s="298" t="s">
        <v>129</v>
      </c>
      <c r="E297" s="299"/>
      <c r="F297" s="300"/>
      <c r="G297" s="283"/>
      <c r="H297" s="283"/>
      <c r="I297" s="283"/>
      <c r="J297" s="297"/>
      <c r="K297" s="274"/>
      <c r="L297" s="231"/>
      <c r="M297" s="113"/>
      <c r="N297" s="113"/>
      <c r="O297" s="113"/>
      <c r="P297" s="113"/>
    </row>
    <row r="298" spans="3:16" x14ac:dyDescent="0.3">
      <c r="C298" s="114"/>
      <c r="D298" s="266" t="s">
        <v>135</v>
      </c>
      <c r="E298" s="239" t="s">
        <v>0</v>
      </c>
      <c r="F298" s="270">
        <v>3</v>
      </c>
      <c r="G298" s="236">
        <v>0.15</v>
      </c>
      <c r="H298" s="268">
        <v>1.2</v>
      </c>
      <c r="I298" s="268">
        <v>2.95</v>
      </c>
      <c r="J298" s="270">
        <v>1</v>
      </c>
      <c r="K298" s="268"/>
      <c r="L298" s="237">
        <f t="shared" ref="L298" si="54">((H298+I298)*2)*F298*G298*J298</f>
        <v>3.7350000000000003</v>
      </c>
      <c r="M298" s="111"/>
      <c r="N298" s="111"/>
      <c r="O298" s="111"/>
      <c r="P298" s="111"/>
    </row>
    <row r="299" spans="3:16" ht="14.4" x14ac:dyDescent="0.3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3:16" x14ac:dyDescent="0.3">
      <c r="C300" s="99" t="s">
        <v>1185</v>
      </c>
      <c r="D300" s="100" t="s">
        <v>159</v>
      </c>
      <c r="E300" s="132" t="s">
        <v>0</v>
      </c>
      <c r="F300" s="136"/>
      <c r="G300" s="2"/>
      <c r="H300" s="2"/>
      <c r="I300" s="2"/>
      <c r="J300" s="102"/>
      <c r="K300" s="103"/>
      <c r="L300" s="103"/>
      <c r="M300" s="103"/>
      <c r="N300" s="103"/>
      <c r="O300" s="103"/>
      <c r="P300" s="103">
        <f>SUM(L300:L328)</f>
        <v>769.59250000000009</v>
      </c>
    </row>
    <row r="301" spans="3:16" x14ac:dyDescent="0.3">
      <c r="C301" s="106"/>
      <c r="D301" s="267" t="s">
        <v>127</v>
      </c>
      <c r="E301" s="262"/>
      <c r="F301" s="277"/>
      <c r="G301" s="230"/>
      <c r="H301" s="230"/>
      <c r="I301" s="230"/>
      <c r="J301" s="277"/>
      <c r="K301" s="231"/>
      <c r="L301" s="231"/>
      <c r="M301" s="113"/>
      <c r="N301" s="113"/>
      <c r="O301" s="113"/>
      <c r="P301" s="113"/>
    </row>
    <row r="302" spans="3:16" x14ac:dyDescent="0.3">
      <c r="C302" s="114"/>
      <c r="D302" s="258" t="s">
        <v>278</v>
      </c>
      <c r="E302" s="239" t="s">
        <v>0</v>
      </c>
      <c r="F302" s="242">
        <v>2</v>
      </c>
      <c r="G302" s="236" t="s">
        <v>156</v>
      </c>
      <c r="H302" s="236">
        <v>13.35</v>
      </c>
      <c r="I302" s="236"/>
      <c r="J302" s="242">
        <v>1</v>
      </c>
      <c r="K302" s="237"/>
      <c r="L302" s="237">
        <f t="shared" ref="L302:L307" si="55">PRODUCT(F302:J302)</f>
        <v>26.7</v>
      </c>
      <c r="M302" s="111"/>
      <c r="N302" s="111"/>
      <c r="O302" s="111"/>
      <c r="P302" s="111"/>
    </row>
    <row r="303" spans="3:16" x14ac:dyDescent="0.3">
      <c r="C303" s="114"/>
      <c r="D303" s="258"/>
      <c r="E303" s="239" t="s">
        <v>0</v>
      </c>
      <c r="F303" s="242">
        <v>4</v>
      </c>
      <c r="G303" s="236" t="s">
        <v>156</v>
      </c>
      <c r="H303" s="236">
        <v>13.28</v>
      </c>
      <c r="I303" s="236"/>
      <c r="J303" s="242">
        <v>1</v>
      </c>
      <c r="K303" s="237"/>
      <c r="L303" s="237">
        <f t="shared" si="55"/>
        <v>53.12</v>
      </c>
      <c r="M303" s="111"/>
      <c r="N303" s="111"/>
      <c r="O303" s="111"/>
      <c r="P303" s="111"/>
    </row>
    <row r="304" spans="3:16" x14ac:dyDescent="0.3">
      <c r="C304" s="114"/>
      <c r="D304" s="258" t="s">
        <v>516</v>
      </c>
      <c r="E304" s="239" t="s">
        <v>0</v>
      </c>
      <c r="F304" s="242">
        <v>2</v>
      </c>
      <c r="G304" s="236" t="s">
        <v>156</v>
      </c>
      <c r="H304" s="236">
        <v>27.84</v>
      </c>
      <c r="I304" s="236"/>
      <c r="J304" s="242">
        <v>1</v>
      </c>
      <c r="K304" s="237"/>
      <c r="L304" s="237">
        <f t="shared" si="55"/>
        <v>55.68</v>
      </c>
      <c r="M304" s="111"/>
      <c r="N304" s="111"/>
      <c r="O304" s="111"/>
      <c r="P304" s="111"/>
    </row>
    <row r="305" spans="3:16" x14ac:dyDescent="0.3">
      <c r="C305" s="114"/>
      <c r="D305" s="258"/>
      <c r="E305" s="239" t="s">
        <v>0</v>
      </c>
      <c r="F305" s="242">
        <v>4</v>
      </c>
      <c r="G305" s="236" t="s">
        <v>156</v>
      </c>
      <c r="H305" s="236">
        <v>27.68</v>
      </c>
      <c r="I305" s="236"/>
      <c r="J305" s="242">
        <v>1</v>
      </c>
      <c r="K305" s="237"/>
      <c r="L305" s="237">
        <f t="shared" si="55"/>
        <v>110.72</v>
      </c>
      <c r="M305" s="111"/>
      <c r="N305" s="111"/>
      <c r="O305" s="111"/>
      <c r="P305" s="111"/>
    </row>
    <row r="306" spans="3:16" x14ac:dyDescent="0.3">
      <c r="C306" s="114"/>
      <c r="D306" s="258"/>
      <c r="E306" s="239" t="s">
        <v>0</v>
      </c>
      <c r="F306" s="242">
        <v>18</v>
      </c>
      <c r="G306" s="236" t="s">
        <v>156</v>
      </c>
      <c r="H306" s="236">
        <v>0.06</v>
      </c>
      <c r="I306" s="236"/>
      <c r="J306" s="242">
        <v>1</v>
      </c>
      <c r="K306" s="237"/>
      <c r="L306" s="237">
        <f t="shared" si="55"/>
        <v>1.08</v>
      </c>
      <c r="M306" s="111"/>
      <c r="N306" s="111"/>
      <c r="O306" s="111"/>
      <c r="P306" s="111"/>
    </row>
    <row r="307" spans="3:16" x14ac:dyDescent="0.3">
      <c r="C307" s="114"/>
      <c r="D307" s="258" t="s">
        <v>924</v>
      </c>
      <c r="E307" s="239" t="s">
        <v>0</v>
      </c>
      <c r="F307" s="242">
        <v>3</v>
      </c>
      <c r="G307" s="236">
        <v>1.1499999999999999</v>
      </c>
      <c r="H307" s="236">
        <v>0.55000000000000004</v>
      </c>
      <c r="I307" s="236"/>
      <c r="J307" s="242">
        <v>1</v>
      </c>
      <c r="K307" s="237"/>
      <c r="L307" s="237">
        <f t="shared" si="55"/>
        <v>1.8975</v>
      </c>
      <c r="M307" s="111"/>
      <c r="N307" s="111"/>
      <c r="O307" s="111"/>
      <c r="P307" s="111"/>
    </row>
    <row r="308" spans="3:16" x14ac:dyDescent="0.3">
      <c r="C308" s="106"/>
      <c r="D308" s="267"/>
      <c r="E308" s="262"/>
      <c r="F308" s="277"/>
      <c r="G308" s="230"/>
      <c r="H308" s="230"/>
      <c r="I308" s="230"/>
      <c r="J308" s="277"/>
      <c r="K308" s="231"/>
      <c r="L308" s="231"/>
      <c r="M308" s="113"/>
      <c r="N308" s="113"/>
      <c r="O308" s="113"/>
      <c r="P308" s="113"/>
    </row>
    <row r="309" spans="3:16" x14ac:dyDescent="0.3">
      <c r="C309" s="106"/>
      <c r="D309" s="267" t="s">
        <v>68</v>
      </c>
      <c r="E309" s="262"/>
      <c r="F309" s="277"/>
      <c r="G309" s="230"/>
      <c r="H309" s="230"/>
      <c r="I309" s="230"/>
      <c r="J309" s="277"/>
      <c r="K309" s="231"/>
      <c r="L309" s="231"/>
      <c r="M309" s="113"/>
      <c r="N309" s="113"/>
      <c r="O309" s="113"/>
      <c r="P309" s="113"/>
    </row>
    <row r="310" spans="3:16" x14ac:dyDescent="0.3">
      <c r="C310" s="114"/>
      <c r="D310" s="258" t="s">
        <v>278</v>
      </c>
      <c r="E310" s="239" t="s">
        <v>0</v>
      </c>
      <c r="F310" s="242">
        <v>2</v>
      </c>
      <c r="G310" s="236" t="s">
        <v>156</v>
      </c>
      <c r="H310" s="236">
        <v>13.35</v>
      </c>
      <c r="I310" s="236"/>
      <c r="J310" s="242">
        <v>1</v>
      </c>
      <c r="K310" s="237"/>
      <c r="L310" s="237">
        <f t="shared" ref="L310:L315" si="56">PRODUCT(F310:J310)</f>
        <v>26.7</v>
      </c>
      <c r="M310" s="111"/>
      <c r="N310" s="111"/>
      <c r="O310" s="111"/>
      <c r="P310" s="111"/>
    </row>
    <row r="311" spans="3:16" x14ac:dyDescent="0.3">
      <c r="C311" s="114"/>
      <c r="D311" s="258"/>
      <c r="E311" s="239" t="s">
        <v>0</v>
      </c>
      <c r="F311" s="242">
        <v>4</v>
      </c>
      <c r="G311" s="236" t="s">
        <v>156</v>
      </c>
      <c r="H311" s="236">
        <v>13.28</v>
      </c>
      <c r="I311" s="236"/>
      <c r="J311" s="242">
        <v>1</v>
      </c>
      <c r="K311" s="237"/>
      <c r="L311" s="237">
        <f t="shared" si="56"/>
        <v>53.12</v>
      </c>
      <c r="M311" s="111"/>
      <c r="N311" s="111"/>
      <c r="O311" s="111"/>
      <c r="P311" s="111"/>
    </row>
    <row r="312" spans="3:16" x14ac:dyDescent="0.3">
      <c r="C312" s="114"/>
      <c r="D312" s="258" t="s">
        <v>516</v>
      </c>
      <c r="E312" s="239" t="s">
        <v>0</v>
      </c>
      <c r="F312" s="242">
        <v>2</v>
      </c>
      <c r="G312" s="236" t="s">
        <v>156</v>
      </c>
      <c r="H312" s="236">
        <v>27.84</v>
      </c>
      <c r="I312" s="236"/>
      <c r="J312" s="242">
        <v>1</v>
      </c>
      <c r="K312" s="237"/>
      <c r="L312" s="237">
        <f t="shared" si="56"/>
        <v>55.68</v>
      </c>
      <c r="M312" s="111"/>
      <c r="N312" s="111"/>
      <c r="O312" s="111"/>
      <c r="P312" s="111"/>
    </row>
    <row r="313" spans="3:16" x14ac:dyDescent="0.3">
      <c r="C313" s="114"/>
      <c r="D313" s="258"/>
      <c r="E313" s="239" t="s">
        <v>0</v>
      </c>
      <c r="F313" s="242">
        <v>4</v>
      </c>
      <c r="G313" s="236" t="s">
        <v>156</v>
      </c>
      <c r="H313" s="236">
        <v>27.68</v>
      </c>
      <c r="I313" s="236"/>
      <c r="J313" s="242">
        <v>1</v>
      </c>
      <c r="K313" s="237"/>
      <c r="L313" s="237">
        <f t="shared" si="56"/>
        <v>110.72</v>
      </c>
      <c r="M313" s="111"/>
      <c r="N313" s="111"/>
      <c r="O313" s="111"/>
      <c r="P313" s="111"/>
    </row>
    <row r="314" spans="3:16" x14ac:dyDescent="0.3">
      <c r="C314" s="114"/>
      <c r="D314" s="258"/>
      <c r="E314" s="239" t="s">
        <v>0</v>
      </c>
      <c r="F314" s="242">
        <v>18</v>
      </c>
      <c r="G314" s="236" t="s">
        <v>156</v>
      </c>
      <c r="H314" s="236">
        <v>0.06</v>
      </c>
      <c r="I314" s="236"/>
      <c r="J314" s="242">
        <v>1</v>
      </c>
      <c r="K314" s="237"/>
      <c r="L314" s="237">
        <f t="shared" si="56"/>
        <v>1.08</v>
      </c>
      <c r="M314" s="111"/>
      <c r="N314" s="111"/>
      <c r="O314" s="111"/>
      <c r="P314" s="111"/>
    </row>
    <row r="315" spans="3:16" x14ac:dyDescent="0.3">
      <c r="C315" s="114"/>
      <c r="D315" s="258" t="s">
        <v>924</v>
      </c>
      <c r="E315" s="239" t="s">
        <v>0</v>
      </c>
      <c r="F315" s="242">
        <v>3</v>
      </c>
      <c r="G315" s="236">
        <v>1.1499999999999999</v>
      </c>
      <c r="H315" s="236">
        <v>0.55000000000000004</v>
      </c>
      <c r="I315" s="236"/>
      <c r="J315" s="242">
        <v>1</v>
      </c>
      <c r="K315" s="237"/>
      <c r="L315" s="237">
        <f t="shared" si="56"/>
        <v>1.8975</v>
      </c>
      <c r="M315" s="111"/>
      <c r="N315" s="111"/>
      <c r="O315" s="111"/>
      <c r="P315" s="111"/>
    </row>
    <row r="316" spans="3:16" x14ac:dyDescent="0.3">
      <c r="C316" s="106"/>
      <c r="D316" s="267"/>
      <c r="E316" s="262"/>
      <c r="F316" s="277"/>
      <c r="G316" s="230"/>
      <c r="H316" s="230"/>
      <c r="I316" s="230"/>
      <c r="J316" s="277"/>
      <c r="K316" s="231"/>
      <c r="L316" s="231"/>
      <c r="M316" s="113"/>
      <c r="N316" s="113"/>
      <c r="O316" s="113"/>
      <c r="P316" s="113"/>
    </row>
    <row r="317" spans="3:16" x14ac:dyDescent="0.3">
      <c r="C317" s="106"/>
      <c r="D317" s="267" t="s">
        <v>106</v>
      </c>
      <c r="E317" s="262"/>
      <c r="F317" s="277"/>
      <c r="G317" s="230"/>
      <c r="H317" s="230"/>
      <c r="I317" s="230"/>
      <c r="J317" s="277"/>
      <c r="K317" s="231"/>
      <c r="L317" s="231"/>
      <c r="M317" s="113"/>
      <c r="N317" s="113"/>
      <c r="O317" s="113"/>
      <c r="P317" s="113"/>
    </row>
    <row r="318" spans="3:16" x14ac:dyDescent="0.3">
      <c r="C318" s="114"/>
      <c r="D318" s="258" t="s">
        <v>278</v>
      </c>
      <c r="E318" s="239" t="s">
        <v>0</v>
      </c>
      <c r="F318" s="242">
        <v>2</v>
      </c>
      <c r="G318" s="236" t="s">
        <v>156</v>
      </c>
      <c r="H318" s="236">
        <v>13.35</v>
      </c>
      <c r="I318" s="236"/>
      <c r="J318" s="242">
        <v>1</v>
      </c>
      <c r="K318" s="237"/>
      <c r="L318" s="237">
        <f t="shared" ref="L318:L323" si="57">PRODUCT(F318:J318)</f>
        <v>26.7</v>
      </c>
      <c r="M318" s="111"/>
      <c r="N318" s="111"/>
      <c r="O318" s="111"/>
      <c r="P318" s="111"/>
    </row>
    <row r="319" spans="3:16" x14ac:dyDescent="0.3">
      <c r="C319" s="114"/>
      <c r="D319" s="258"/>
      <c r="E319" s="239" t="s">
        <v>0</v>
      </c>
      <c r="F319" s="242">
        <v>4</v>
      </c>
      <c r="G319" s="236" t="s">
        <v>156</v>
      </c>
      <c r="H319" s="236">
        <v>13.28</v>
      </c>
      <c r="I319" s="236"/>
      <c r="J319" s="242">
        <v>1</v>
      </c>
      <c r="K319" s="237"/>
      <c r="L319" s="237">
        <f t="shared" si="57"/>
        <v>53.12</v>
      </c>
      <c r="M319" s="111"/>
      <c r="N319" s="111"/>
      <c r="O319" s="111"/>
      <c r="P319" s="111"/>
    </row>
    <row r="320" spans="3:16" x14ac:dyDescent="0.3">
      <c r="C320" s="114"/>
      <c r="D320" s="258" t="s">
        <v>516</v>
      </c>
      <c r="E320" s="239" t="s">
        <v>0</v>
      </c>
      <c r="F320" s="242">
        <v>2</v>
      </c>
      <c r="G320" s="236" t="s">
        <v>156</v>
      </c>
      <c r="H320" s="236">
        <v>27.84</v>
      </c>
      <c r="I320" s="236"/>
      <c r="J320" s="242">
        <v>1</v>
      </c>
      <c r="K320" s="237"/>
      <c r="L320" s="237">
        <f t="shared" si="57"/>
        <v>55.68</v>
      </c>
      <c r="M320" s="111"/>
      <c r="N320" s="111"/>
      <c r="O320" s="111"/>
      <c r="P320" s="111"/>
    </row>
    <row r="321" spans="3:16" x14ac:dyDescent="0.3">
      <c r="C321" s="114"/>
      <c r="D321" s="258"/>
      <c r="E321" s="239" t="s">
        <v>0</v>
      </c>
      <c r="F321" s="242">
        <v>4</v>
      </c>
      <c r="G321" s="236" t="s">
        <v>156</v>
      </c>
      <c r="H321" s="236">
        <v>27.68</v>
      </c>
      <c r="I321" s="236"/>
      <c r="J321" s="242">
        <v>1</v>
      </c>
      <c r="K321" s="237"/>
      <c r="L321" s="237">
        <f t="shared" si="57"/>
        <v>110.72</v>
      </c>
      <c r="M321" s="111"/>
      <c r="N321" s="111"/>
      <c r="O321" s="111"/>
      <c r="P321" s="111"/>
    </row>
    <row r="322" spans="3:16" x14ac:dyDescent="0.3">
      <c r="C322" s="114"/>
      <c r="D322" s="258"/>
      <c r="E322" s="239" t="s">
        <v>0</v>
      </c>
      <c r="F322" s="242">
        <v>18</v>
      </c>
      <c r="G322" s="236" t="s">
        <v>156</v>
      </c>
      <c r="H322" s="236">
        <v>0.06</v>
      </c>
      <c r="I322" s="236"/>
      <c r="J322" s="242">
        <v>1</v>
      </c>
      <c r="K322" s="237"/>
      <c r="L322" s="237">
        <f t="shared" si="57"/>
        <v>1.08</v>
      </c>
      <c r="M322" s="111"/>
      <c r="N322" s="111"/>
      <c r="O322" s="111"/>
      <c r="P322" s="111"/>
    </row>
    <row r="323" spans="3:16" x14ac:dyDescent="0.3">
      <c r="C323" s="114"/>
      <c r="D323" s="258" t="s">
        <v>924</v>
      </c>
      <c r="E323" s="239" t="s">
        <v>0</v>
      </c>
      <c r="F323" s="242">
        <v>3</v>
      </c>
      <c r="G323" s="236">
        <v>1.1499999999999999</v>
      </c>
      <c r="H323" s="236">
        <v>0.55000000000000004</v>
      </c>
      <c r="I323" s="236"/>
      <c r="J323" s="242">
        <v>1</v>
      </c>
      <c r="K323" s="237"/>
      <c r="L323" s="237">
        <f t="shared" si="57"/>
        <v>1.8975</v>
      </c>
      <c r="M323" s="111"/>
      <c r="N323" s="111"/>
      <c r="O323" s="111"/>
      <c r="P323" s="111"/>
    </row>
    <row r="324" spans="3:16" x14ac:dyDescent="0.3">
      <c r="C324" s="106"/>
      <c r="D324" s="267"/>
      <c r="E324" s="262"/>
      <c r="F324" s="277"/>
      <c r="G324" s="230"/>
      <c r="H324" s="230"/>
      <c r="I324" s="230"/>
      <c r="J324" s="277"/>
      <c r="K324" s="231"/>
      <c r="L324" s="231"/>
      <c r="M324" s="113"/>
      <c r="N324" s="113"/>
      <c r="O324" s="113"/>
      <c r="P324" s="113"/>
    </row>
    <row r="325" spans="3:16" x14ac:dyDescent="0.3">
      <c r="C325" s="106"/>
      <c r="D325" s="267" t="s">
        <v>51</v>
      </c>
      <c r="E325" s="262"/>
      <c r="F325" s="277"/>
      <c r="G325" s="230"/>
      <c r="H325" s="230"/>
      <c r="I325" s="230"/>
      <c r="J325" s="277"/>
      <c r="K325" s="231"/>
      <c r="L325" s="231"/>
      <c r="M325" s="113"/>
      <c r="N325" s="113"/>
      <c r="O325" s="113"/>
      <c r="P325" s="113"/>
    </row>
    <row r="326" spans="3:16" x14ac:dyDescent="0.3">
      <c r="C326" s="114"/>
      <c r="D326" s="258" t="s">
        <v>284</v>
      </c>
      <c r="E326" s="239" t="s">
        <v>0</v>
      </c>
      <c r="F326" s="242">
        <v>18</v>
      </c>
      <c r="G326" s="236" t="s">
        <v>156</v>
      </c>
      <c r="H326" s="236">
        <v>0.06</v>
      </c>
      <c r="I326" s="236"/>
      <c r="J326" s="235">
        <v>1</v>
      </c>
      <c r="K326" s="237"/>
      <c r="L326" s="237">
        <f t="shared" ref="L326:L328" si="58">IF(F326="","",PRODUCT(F326:J326))</f>
        <v>1.08</v>
      </c>
      <c r="M326" s="111"/>
      <c r="N326" s="111"/>
      <c r="O326" s="111"/>
      <c r="P326" s="111"/>
    </row>
    <row r="327" spans="3:16" x14ac:dyDescent="0.3">
      <c r="C327" s="114"/>
      <c r="D327" s="258"/>
      <c r="E327" s="239" t="s">
        <v>0</v>
      </c>
      <c r="F327" s="242">
        <v>2</v>
      </c>
      <c r="G327" s="236" t="s">
        <v>156</v>
      </c>
      <c r="H327" s="236">
        <v>3.5</v>
      </c>
      <c r="I327" s="236"/>
      <c r="J327" s="235">
        <v>1</v>
      </c>
      <c r="K327" s="237"/>
      <c r="L327" s="237">
        <f t="shared" si="58"/>
        <v>7</v>
      </c>
      <c r="M327" s="111"/>
      <c r="N327" s="111"/>
      <c r="O327" s="111"/>
      <c r="P327" s="111"/>
    </row>
    <row r="328" spans="3:16" x14ac:dyDescent="0.3">
      <c r="C328" s="114"/>
      <c r="D328" s="258"/>
      <c r="E328" s="239" t="s">
        <v>0</v>
      </c>
      <c r="F328" s="242">
        <v>4</v>
      </c>
      <c r="G328" s="236" t="s">
        <v>156</v>
      </c>
      <c r="H328" s="236">
        <v>3.48</v>
      </c>
      <c r="I328" s="236"/>
      <c r="J328" s="235">
        <v>1</v>
      </c>
      <c r="K328" s="237"/>
      <c r="L328" s="237">
        <f t="shared" si="58"/>
        <v>13.92</v>
      </c>
      <c r="M328" s="111"/>
      <c r="N328" s="111"/>
      <c r="O328" s="111"/>
      <c r="P328" s="111"/>
    </row>
    <row r="329" spans="3:16" x14ac:dyDescent="0.3">
      <c r="C329" s="114"/>
      <c r="D329" s="233" t="s">
        <v>771</v>
      </c>
      <c r="E329" s="234" t="s">
        <v>0</v>
      </c>
      <c r="F329" s="235">
        <v>1</v>
      </c>
      <c r="G329" s="236">
        <f>0.15</f>
        <v>0.15</v>
      </c>
      <c r="H329" s="236"/>
      <c r="I329" s="236">
        <v>3.88</v>
      </c>
      <c r="J329" s="235">
        <v>1</v>
      </c>
      <c r="K329" s="237"/>
      <c r="L329" s="237">
        <f t="shared" ref="L329:L330" si="59">IF(F329="","",PRODUCT(F329:J329))</f>
        <v>0.58199999999999996</v>
      </c>
      <c r="M329" s="111"/>
      <c r="N329" s="111"/>
      <c r="O329" s="111"/>
      <c r="P329" s="111"/>
    </row>
    <row r="330" spans="3:16" x14ac:dyDescent="0.3">
      <c r="C330" s="114"/>
      <c r="D330" s="233" t="s">
        <v>772</v>
      </c>
      <c r="E330" s="234" t="s">
        <v>0</v>
      </c>
      <c r="F330" s="235">
        <v>1</v>
      </c>
      <c r="G330" s="236">
        <f>1.3+1.2</f>
        <v>2.5</v>
      </c>
      <c r="H330" s="236"/>
      <c r="I330" s="236">
        <v>2.88</v>
      </c>
      <c r="J330" s="235">
        <v>1</v>
      </c>
      <c r="K330" s="237"/>
      <c r="L330" s="237">
        <f t="shared" si="59"/>
        <v>7.1999999999999993</v>
      </c>
      <c r="M330" s="111"/>
      <c r="N330" s="111"/>
      <c r="O330" s="111"/>
      <c r="P330" s="111"/>
    </row>
    <row r="331" spans="3:16" x14ac:dyDescent="0.3">
      <c r="C331" s="114"/>
      <c r="D331" s="115" t="s">
        <v>773</v>
      </c>
      <c r="E331" s="121"/>
      <c r="F331" s="3"/>
      <c r="G331" s="122" t="s">
        <v>198</v>
      </c>
      <c r="H331" s="110"/>
      <c r="I331" s="110"/>
      <c r="J331" s="109"/>
      <c r="K331" s="111"/>
      <c r="L331" s="111"/>
      <c r="M331" s="111"/>
      <c r="N331" s="111"/>
      <c r="O331" s="111"/>
      <c r="P331" s="111"/>
    </row>
    <row r="332" spans="3:16" x14ac:dyDescent="0.3">
      <c r="C332" s="114"/>
      <c r="D332" s="233" t="s">
        <v>743</v>
      </c>
      <c r="E332" s="234" t="s">
        <v>0</v>
      </c>
      <c r="F332" s="235">
        <v>1</v>
      </c>
      <c r="G332" s="236">
        <f>0.25+0.15</f>
        <v>0.4</v>
      </c>
      <c r="H332" s="236"/>
      <c r="I332" s="236">
        <v>2.88</v>
      </c>
      <c r="J332" s="235">
        <v>1</v>
      </c>
      <c r="K332" s="237"/>
      <c r="L332" s="237">
        <f>IF(F332="","",PRODUCT(F332:J332))</f>
        <v>1.1519999999999999</v>
      </c>
      <c r="M332" s="111"/>
      <c r="N332" s="111"/>
      <c r="O332" s="111"/>
      <c r="P332" s="111"/>
    </row>
    <row r="333" spans="3:16" x14ac:dyDescent="0.3">
      <c r="C333" s="114"/>
      <c r="D333" s="233" t="s">
        <v>744</v>
      </c>
      <c r="E333" s="234" t="s">
        <v>0</v>
      </c>
      <c r="F333" s="235">
        <v>1</v>
      </c>
      <c r="G333" s="236">
        <f>1.2+1.3+1.2</f>
        <v>3.7</v>
      </c>
      <c r="H333" s="236"/>
      <c r="I333" s="236">
        <v>2.88</v>
      </c>
      <c r="J333" s="235">
        <v>1</v>
      </c>
      <c r="K333" s="237"/>
      <c r="L333" s="237">
        <f>IF(F333="","",PRODUCT(F333:J333))</f>
        <v>10.656000000000001</v>
      </c>
      <c r="M333" s="111"/>
      <c r="N333" s="111"/>
      <c r="O333" s="111"/>
      <c r="P333" s="111"/>
    </row>
    <row r="334" spans="3:16" x14ac:dyDescent="0.3">
      <c r="C334" s="114"/>
      <c r="D334" s="233" t="s">
        <v>745</v>
      </c>
      <c r="E334" s="234" t="s">
        <v>0</v>
      </c>
      <c r="F334" s="235">
        <v>1</v>
      </c>
      <c r="G334" s="236">
        <f>0.25+0.25+0.25+0.1</f>
        <v>0.85</v>
      </c>
      <c r="H334" s="236"/>
      <c r="I334" s="236">
        <v>2.88</v>
      </c>
      <c r="J334" s="235">
        <v>1</v>
      </c>
      <c r="K334" s="237"/>
      <c r="L334" s="237">
        <f t="shared" ref="L334:L341" si="60">IF(F334="","",PRODUCT(F334:J334))</f>
        <v>2.448</v>
      </c>
      <c r="M334" s="111"/>
      <c r="N334" s="111"/>
      <c r="O334" s="111"/>
      <c r="P334" s="111"/>
    </row>
    <row r="335" spans="3:16" x14ac:dyDescent="0.3">
      <c r="C335" s="114"/>
      <c r="D335" s="233" t="s">
        <v>746</v>
      </c>
      <c r="E335" s="234" t="s">
        <v>0</v>
      </c>
      <c r="F335" s="235">
        <v>1</v>
      </c>
      <c r="G335" s="236">
        <f>0.15+0.25+0.25+0.25</f>
        <v>0.9</v>
      </c>
      <c r="H335" s="236"/>
      <c r="I335" s="236">
        <v>2.88</v>
      </c>
      <c r="J335" s="235">
        <v>1</v>
      </c>
      <c r="K335" s="237"/>
      <c r="L335" s="237">
        <f t="shared" si="60"/>
        <v>2.5920000000000001</v>
      </c>
      <c r="M335" s="111"/>
      <c r="N335" s="111"/>
      <c r="O335" s="111"/>
      <c r="P335" s="111"/>
    </row>
    <row r="336" spans="3:16" x14ac:dyDescent="0.3">
      <c r="C336" s="114"/>
      <c r="D336" s="233" t="s">
        <v>747</v>
      </c>
      <c r="E336" s="234" t="s">
        <v>0</v>
      </c>
      <c r="F336" s="235">
        <v>1</v>
      </c>
      <c r="G336" s="236">
        <v>1.2</v>
      </c>
      <c r="H336" s="236"/>
      <c r="I336" s="236">
        <v>2.88</v>
      </c>
      <c r="J336" s="235">
        <v>1</v>
      </c>
      <c r="K336" s="237"/>
      <c r="L336" s="237">
        <f t="shared" si="60"/>
        <v>3.456</v>
      </c>
      <c r="M336" s="111"/>
      <c r="N336" s="111"/>
      <c r="O336" s="111"/>
      <c r="P336" s="111"/>
    </row>
    <row r="337" spans="3:16" x14ac:dyDescent="0.3">
      <c r="C337" s="114"/>
      <c r="D337" s="233"/>
      <c r="E337" s="234" t="s">
        <v>0</v>
      </c>
      <c r="F337" s="235">
        <v>1</v>
      </c>
      <c r="G337" s="236">
        <v>1.3</v>
      </c>
      <c r="H337" s="236"/>
      <c r="I337" s="236">
        <v>2.88</v>
      </c>
      <c r="J337" s="235">
        <v>1</v>
      </c>
      <c r="K337" s="237"/>
      <c r="L337" s="237">
        <f t="shared" si="60"/>
        <v>3.7439999999999998</v>
      </c>
      <c r="M337" s="111"/>
      <c r="N337" s="111"/>
      <c r="O337" s="111"/>
      <c r="P337" s="111"/>
    </row>
    <row r="338" spans="3:16" x14ac:dyDescent="0.3">
      <c r="C338" s="114"/>
      <c r="D338" s="233" t="s">
        <v>748</v>
      </c>
      <c r="E338" s="234" t="s">
        <v>0</v>
      </c>
      <c r="F338" s="235">
        <v>1</v>
      </c>
      <c r="G338" s="236">
        <f>0.25+0.25+0.25+0.25</f>
        <v>1</v>
      </c>
      <c r="H338" s="236"/>
      <c r="I338" s="236">
        <v>2.88</v>
      </c>
      <c r="J338" s="235">
        <v>1</v>
      </c>
      <c r="K338" s="237"/>
      <c r="L338" s="237">
        <f t="shared" si="60"/>
        <v>2.88</v>
      </c>
      <c r="M338" s="111"/>
      <c r="N338" s="111"/>
      <c r="O338" s="111"/>
      <c r="P338" s="111"/>
    </row>
    <row r="339" spans="3:16" x14ac:dyDescent="0.3">
      <c r="C339" s="114"/>
      <c r="D339" s="233" t="s">
        <v>749</v>
      </c>
      <c r="E339" s="234" t="s">
        <v>0</v>
      </c>
      <c r="F339" s="235">
        <v>1</v>
      </c>
      <c r="G339" s="236">
        <f>0.25+0.1+0.15+0.1</f>
        <v>0.6</v>
      </c>
      <c r="H339" s="236"/>
      <c r="I339" s="236">
        <v>2.88</v>
      </c>
      <c r="J339" s="235">
        <v>1</v>
      </c>
      <c r="K339" s="237"/>
      <c r="L339" s="237">
        <f t="shared" si="60"/>
        <v>1.728</v>
      </c>
      <c r="M339" s="111"/>
      <c r="N339" s="111"/>
      <c r="O339" s="111"/>
      <c r="P339" s="111"/>
    </row>
    <row r="340" spans="3:16" x14ac:dyDescent="0.3">
      <c r="C340" s="114"/>
      <c r="D340" s="233" t="s">
        <v>750</v>
      </c>
      <c r="E340" s="234" t="s">
        <v>0</v>
      </c>
      <c r="F340" s="235">
        <v>1</v>
      </c>
      <c r="G340" s="236">
        <f>1.2+1.2+0.25</f>
        <v>2.65</v>
      </c>
      <c r="H340" s="236"/>
      <c r="I340" s="236">
        <v>2.88</v>
      </c>
      <c r="J340" s="235">
        <v>1</v>
      </c>
      <c r="K340" s="237"/>
      <c r="L340" s="237">
        <f t="shared" si="60"/>
        <v>7.6319999999999997</v>
      </c>
      <c r="M340" s="111"/>
      <c r="N340" s="111"/>
      <c r="O340" s="111"/>
      <c r="P340" s="111"/>
    </row>
    <row r="341" spans="3:16" x14ac:dyDescent="0.3">
      <c r="C341" s="114"/>
      <c r="D341" s="233" t="s">
        <v>751</v>
      </c>
      <c r="E341" s="234" t="s">
        <v>0</v>
      </c>
      <c r="F341" s="235">
        <v>1</v>
      </c>
      <c r="G341" s="236">
        <f>0.15+0.25+0.3</f>
        <v>0.7</v>
      </c>
      <c r="H341" s="236"/>
      <c r="I341" s="236">
        <v>2.88</v>
      </c>
      <c r="J341" s="235">
        <v>1</v>
      </c>
      <c r="K341" s="237"/>
      <c r="L341" s="237">
        <f t="shared" si="60"/>
        <v>2.016</v>
      </c>
      <c r="M341" s="111"/>
      <c r="N341" s="111"/>
      <c r="O341" s="111"/>
      <c r="P341" s="111"/>
    </row>
    <row r="342" spans="3:16" x14ac:dyDescent="0.3">
      <c r="C342" s="114"/>
      <c r="D342" s="233" t="s">
        <v>752</v>
      </c>
      <c r="E342" s="234" t="s">
        <v>0</v>
      </c>
      <c r="F342" s="235">
        <v>1</v>
      </c>
      <c r="G342" s="236">
        <f>0.05+0.4+0.05+0.05+0.4+0.05</f>
        <v>1</v>
      </c>
      <c r="H342" s="236"/>
      <c r="I342" s="236">
        <v>2.88</v>
      </c>
      <c r="J342" s="235">
        <v>1</v>
      </c>
      <c r="K342" s="237"/>
      <c r="L342" s="237">
        <f>IF(F342="","",PRODUCT(F342:J342))</f>
        <v>2.88</v>
      </c>
      <c r="M342" s="111"/>
      <c r="N342" s="111"/>
      <c r="O342" s="111"/>
      <c r="P342" s="111"/>
    </row>
    <row r="343" spans="3:16" x14ac:dyDescent="0.3">
      <c r="C343" s="114"/>
      <c r="D343" s="233" t="s">
        <v>753</v>
      </c>
      <c r="E343" s="234" t="s">
        <v>0</v>
      </c>
      <c r="F343" s="235">
        <v>1</v>
      </c>
      <c r="G343" s="236">
        <f>0.15+0.05+0.05+0.3</f>
        <v>0.55000000000000004</v>
      </c>
      <c r="H343" s="236"/>
      <c r="I343" s="236">
        <v>2.88</v>
      </c>
      <c r="J343" s="235">
        <v>1</v>
      </c>
      <c r="K343" s="237"/>
      <c r="L343" s="237">
        <f t="shared" ref="L343" si="61">IF(F343="","",PRODUCT(F343:J343))</f>
        <v>1.5840000000000001</v>
      </c>
      <c r="M343" s="111"/>
      <c r="N343" s="111"/>
      <c r="O343" s="111"/>
      <c r="P343" s="111"/>
    </row>
    <row r="344" spans="3:16" x14ac:dyDescent="0.3">
      <c r="C344" s="114"/>
      <c r="D344" s="233" t="s">
        <v>754</v>
      </c>
      <c r="E344" s="234" t="s">
        <v>0</v>
      </c>
      <c r="F344" s="235">
        <v>1</v>
      </c>
      <c r="G344" s="236">
        <f>0.1+0.15</f>
        <v>0.25</v>
      </c>
      <c r="H344" s="236"/>
      <c r="I344" s="236">
        <v>2.88</v>
      </c>
      <c r="J344" s="235">
        <v>1</v>
      </c>
      <c r="K344" s="237"/>
      <c r="L344" s="237">
        <f>IF(F344="","",PRODUCT(F344:J344))</f>
        <v>0.72</v>
      </c>
      <c r="M344" s="111"/>
      <c r="N344" s="111"/>
      <c r="O344" s="111"/>
      <c r="P344" s="111"/>
    </row>
    <row r="345" spans="3:16" x14ac:dyDescent="0.3">
      <c r="C345" s="114"/>
      <c r="D345" s="233" t="s">
        <v>755</v>
      </c>
      <c r="E345" s="234" t="s">
        <v>0</v>
      </c>
      <c r="F345" s="235">
        <v>1</v>
      </c>
      <c r="G345" s="236">
        <f>0.1+0.15</f>
        <v>0.25</v>
      </c>
      <c r="H345" s="236"/>
      <c r="I345" s="236">
        <v>2.88</v>
      </c>
      <c r="J345" s="235">
        <v>1</v>
      </c>
      <c r="K345" s="237"/>
      <c r="L345" s="237">
        <f>IF(F345="","",PRODUCT(F345:J345))</f>
        <v>0.72</v>
      </c>
      <c r="M345" s="111"/>
      <c r="N345" s="111"/>
      <c r="O345" s="111"/>
      <c r="P345" s="111"/>
    </row>
    <row r="346" spans="3:16" x14ac:dyDescent="0.3">
      <c r="C346" s="114"/>
      <c r="D346" s="233" t="s">
        <v>756</v>
      </c>
      <c r="E346" s="234" t="s">
        <v>0</v>
      </c>
      <c r="F346" s="235">
        <v>1</v>
      </c>
      <c r="G346" s="236">
        <f>1.2+0.25+1.2+1.2+0.1</f>
        <v>3.9499999999999997</v>
      </c>
      <c r="H346" s="236"/>
      <c r="I346" s="236">
        <v>2.88</v>
      </c>
      <c r="J346" s="235">
        <v>1</v>
      </c>
      <c r="K346" s="237"/>
      <c r="L346" s="237">
        <f t="shared" ref="L346:L351" si="62">IF(F346="","",PRODUCT(F346:J346))</f>
        <v>11.375999999999999</v>
      </c>
      <c r="M346" s="111"/>
      <c r="N346" s="111"/>
      <c r="O346" s="111"/>
      <c r="P346" s="111"/>
    </row>
    <row r="347" spans="3:16" x14ac:dyDescent="0.3">
      <c r="C347" s="114"/>
      <c r="D347" s="233" t="s">
        <v>757</v>
      </c>
      <c r="E347" s="234" t="s">
        <v>0</v>
      </c>
      <c r="F347" s="235">
        <v>1</v>
      </c>
      <c r="G347" s="236">
        <f>0.4</f>
        <v>0.4</v>
      </c>
      <c r="H347" s="236"/>
      <c r="I347" s="236">
        <v>3.16</v>
      </c>
      <c r="J347" s="235">
        <v>1</v>
      </c>
      <c r="K347" s="237"/>
      <c r="L347" s="237">
        <f t="shared" si="62"/>
        <v>1.2640000000000002</v>
      </c>
      <c r="M347" s="111"/>
      <c r="N347" s="111"/>
      <c r="O347" s="111"/>
      <c r="P347" s="111"/>
    </row>
    <row r="348" spans="3:16" x14ac:dyDescent="0.3">
      <c r="C348" s="114"/>
      <c r="D348" s="233" t="s">
        <v>758</v>
      </c>
      <c r="E348" s="234" t="s">
        <v>0</v>
      </c>
      <c r="F348" s="235">
        <v>1</v>
      </c>
      <c r="G348" s="236">
        <f>0.25+0.4</f>
        <v>0.65</v>
      </c>
      <c r="H348" s="236"/>
      <c r="I348" s="236">
        <v>2.88</v>
      </c>
      <c r="J348" s="235">
        <v>1</v>
      </c>
      <c r="K348" s="237"/>
      <c r="L348" s="237">
        <f t="shared" si="62"/>
        <v>1.8719999999999999</v>
      </c>
      <c r="M348" s="111"/>
      <c r="N348" s="111"/>
      <c r="O348" s="111"/>
      <c r="P348" s="111"/>
    </row>
    <row r="349" spans="3:16" x14ac:dyDescent="0.3">
      <c r="C349" s="114"/>
      <c r="D349" s="233" t="s">
        <v>759</v>
      </c>
      <c r="E349" s="234" t="s">
        <v>0</v>
      </c>
      <c r="F349" s="235">
        <v>1</v>
      </c>
      <c r="G349" s="236">
        <f>0.4+0.4</f>
        <v>0.8</v>
      </c>
      <c r="H349" s="236"/>
      <c r="I349" s="236">
        <v>2.88</v>
      </c>
      <c r="J349" s="235">
        <v>1</v>
      </c>
      <c r="K349" s="237"/>
      <c r="L349" s="237">
        <f t="shared" si="62"/>
        <v>2.3039999999999998</v>
      </c>
      <c r="M349" s="111"/>
      <c r="N349" s="111"/>
      <c r="O349" s="111"/>
      <c r="P349" s="111"/>
    </row>
    <row r="350" spans="3:16" x14ac:dyDescent="0.3">
      <c r="C350" s="114"/>
      <c r="D350" s="233" t="s">
        <v>760</v>
      </c>
      <c r="E350" s="234" t="s">
        <v>0</v>
      </c>
      <c r="F350" s="235">
        <v>1</v>
      </c>
      <c r="G350" s="236">
        <f>0.4+0.25</f>
        <v>0.65</v>
      </c>
      <c r="H350" s="236"/>
      <c r="I350" s="236">
        <v>2.88</v>
      </c>
      <c r="J350" s="235">
        <v>1</v>
      </c>
      <c r="K350" s="237"/>
      <c r="L350" s="237">
        <f t="shared" si="62"/>
        <v>1.8719999999999999</v>
      </c>
      <c r="M350" s="111"/>
      <c r="N350" s="111"/>
      <c r="O350" s="111"/>
      <c r="P350" s="111"/>
    </row>
    <row r="351" spans="3:16" x14ac:dyDescent="0.3">
      <c r="C351" s="114"/>
      <c r="D351" s="233" t="s">
        <v>761</v>
      </c>
      <c r="E351" s="234" t="s">
        <v>0</v>
      </c>
      <c r="F351" s="235">
        <v>1</v>
      </c>
      <c r="G351" s="236">
        <f>0.15+0.25+0.15</f>
        <v>0.55000000000000004</v>
      </c>
      <c r="H351" s="236"/>
      <c r="I351" s="236">
        <v>2.88</v>
      </c>
      <c r="J351" s="235">
        <v>1</v>
      </c>
      <c r="K351" s="237"/>
      <c r="L351" s="237">
        <f t="shared" si="62"/>
        <v>1.5840000000000001</v>
      </c>
      <c r="M351" s="111"/>
      <c r="N351" s="111"/>
      <c r="O351" s="111"/>
      <c r="P351" s="111"/>
    </row>
    <row r="352" spans="3:16" x14ac:dyDescent="0.3">
      <c r="C352" s="114"/>
      <c r="D352" s="233" t="s">
        <v>762</v>
      </c>
      <c r="E352" s="234" t="s">
        <v>0</v>
      </c>
      <c r="F352" s="235">
        <v>1</v>
      </c>
      <c r="G352" s="236">
        <v>0.15</v>
      </c>
      <c r="H352" s="236"/>
      <c r="I352" s="236">
        <v>2.88</v>
      </c>
      <c r="J352" s="235">
        <v>1</v>
      </c>
      <c r="K352" s="237"/>
      <c r="L352" s="237">
        <f>IF(F352="","",PRODUCT(F352:J352))</f>
        <v>0.432</v>
      </c>
      <c r="M352" s="111"/>
      <c r="N352" s="111"/>
      <c r="O352" s="111"/>
      <c r="P352" s="111"/>
    </row>
    <row r="353" spans="3:16" x14ac:dyDescent="0.3">
      <c r="C353" s="114"/>
      <c r="D353" s="233" t="s">
        <v>763</v>
      </c>
      <c r="E353" s="234" t="s">
        <v>0</v>
      </c>
      <c r="F353" s="235">
        <v>1</v>
      </c>
      <c r="G353" s="236">
        <f>1.2+1.3</f>
        <v>2.5</v>
      </c>
      <c r="H353" s="236"/>
      <c r="I353" s="236">
        <v>2.88</v>
      </c>
      <c r="J353" s="235">
        <v>1</v>
      </c>
      <c r="K353" s="237"/>
      <c r="L353" s="237">
        <f>IF(F353="","",PRODUCT(F353:J353))</f>
        <v>7.1999999999999993</v>
      </c>
      <c r="M353" s="111"/>
      <c r="N353" s="111"/>
      <c r="O353" s="111"/>
      <c r="P353" s="111"/>
    </row>
    <row r="354" spans="3:16" x14ac:dyDescent="0.3">
      <c r="C354" s="114"/>
      <c r="D354" s="233" t="s">
        <v>764</v>
      </c>
      <c r="E354" s="234" t="s">
        <v>0</v>
      </c>
      <c r="F354" s="235">
        <v>1</v>
      </c>
      <c r="G354" s="236">
        <f>0.25+0.1+0.15</f>
        <v>0.5</v>
      </c>
      <c r="H354" s="236"/>
      <c r="I354" s="236">
        <v>2.88</v>
      </c>
      <c r="J354" s="235">
        <v>1</v>
      </c>
      <c r="K354" s="237"/>
      <c r="L354" s="237">
        <f t="shared" ref="L354:L357" si="63">IF(F354="","",PRODUCT(F354:J354))</f>
        <v>1.44</v>
      </c>
      <c r="M354" s="111"/>
      <c r="N354" s="111"/>
      <c r="O354" s="111"/>
      <c r="P354" s="111"/>
    </row>
    <row r="355" spans="3:16" x14ac:dyDescent="0.3">
      <c r="C355" s="114"/>
      <c r="D355" s="233" t="s">
        <v>765</v>
      </c>
      <c r="E355" s="234" t="s">
        <v>0</v>
      </c>
      <c r="F355" s="235">
        <v>1</v>
      </c>
      <c r="G355" s="236">
        <f>0.05+0.25+0.15</f>
        <v>0.44999999999999996</v>
      </c>
      <c r="H355" s="236"/>
      <c r="I355" s="236">
        <v>2.88</v>
      </c>
      <c r="J355" s="235">
        <v>1</v>
      </c>
      <c r="K355" s="237"/>
      <c r="L355" s="237">
        <f t="shared" si="63"/>
        <v>1.2959999999999998</v>
      </c>
      <c r="M355" s="111"/>
      <c r="N355" s="111"/>
      <c r="O355" s="111"/>
      <c r="P355" s="111"/>
    </row>
    <row r="356" spans="3:16" x14ac:dyDescent="0.3">
      <c r="C356" s="114"/>
      <c r="D356" s="233" t="s">
        <v>766</v>
      </c>
      <c r="E356" s="234" t="s">
        <v>0</v>
      </c>
      <c r="F356" s="235">
        <v>1</v>
      </c>
      <c r="G356" s="236">
        <v>1.3</v>
      </c>
      <c r="H356" s="236"/>
      <c r="I356" s="236">
        <v>2.88</v>
      </c>
      <c r="J356" s="235">
        <v>1</v>
      </c>
      <c r="K356" s="237"/>
      <c r="L356" s="237">
        <f t="shared" si="63"/>
        <v>3.7439999999999998</v>
      </c>
      <c r="M356" s="111"/>
      <c r="N356" s="111"/>
      <c r="O356" s="111"/>
      <c r="P356" s="111"/>
    </row>
    <row r="357" spans="3:16" x14ac:dyDescent="0.3">
      <c r="C357" s="114"/>
      <c r="D357" s="233" t="s">
        <v>767</v>
      </c>
      <c r="E357" s="234" t="s">
        <v>0</v>
      </c>
      <c r="F357" s="235">
        <v>1</v>
      </c>
      <c r="G357" s="236">
        <f>0.15+0.25+0.15</f>
        <v>0.55000000000000004</v>
      </c>
      <c r="H357" s="236"/>
      <c r="I357" s="236">
        <v>2.88</v>
      </c>
      <c r="J357" s="235">
        <v>1</v>
      </c>
      <c r="K357" s="237"/>
      <c r="L357" s="237">
        <f t="shared" si="63"/>
        <v>1.5840000000000001</v>
      </c>
      <c r="M357" s="111"/>
      <c r="N357" s="111"/>
      <c r="O357" s="111"/>
      <c r="P357" s="111"/>
    </row>
    <row r="358" spans="3:16" x14ac:dyDescent="0.3">
      <c r="C358" s="114"/>
      <c r="D358" s="233" t="s">
        <v>768</v>
      </c>
      <c r="E358" s="234" t="s">
        <v>0</v>
      </c>
      <c r="F358" s="235">
        <v>1</v>
      </c>
      <c r="G358" s="236">
        <f>0.15+0.1+0.05</f>
        <v>0.3</v>
      </c>
      <c r="H358" s="236"/>
      <c r="I358" s="236">
        <v>2.88</v>
      </c>
      <c r="J358" s="235">
        <v>1</v>
      </c>
      <c r="K358" s="237"/>
      <c r="L358" s="237">
        <f>IF(F358="","",PRODUCT(F358:J358))</f>
        <v>0.86399999999999999</v>
      </c>
      <c r="M358" s="111"/>
      <c r="N358" s="111"/>
      <c r="O358" s="111"/>
      <c r="P358" s="111"/>
    </row>
    <row r="359" spans="3:16" x14ac:dyDescent="0.3">
      <c r="C359" s="114"/>
      <c r="D359" s="233" t="s">
        <v>769</v>
      </c>
      <c r="E359" s="234" t="s">
        <v>0</v>
      </c>
      <c r="F359" s="235">
        <v>1</v>
      </c>
      <c r="G359" s="236">
        <v>1.3</v>
      </c>
      <c r="H359" s="236"/>
      <c r="I359" s="236">
        <v>2.88</v>
      </c>
      <c r="J359" s="235">
        <v>1</v>
      </c>
      <c r="K359" s="237"/>
      <c r="L359" s="237">
        <f t="shared" ref="L359:L362" si="64">IF(F359="","",PRODUCT(F359:J359))</f>
        <v>3.7439999999999998</v>
      </c>
      <c r="M359" s="111"/>
      <c r="N359" s="111"/>
      <c r="O359" s="111"/>
      <c r="P359" s="111"/>
    </row>
    <row r="360" spans="3:16" x14ac:dyDescent="0.3">
      <c r="C360" s="114"/>
      <c r="D360" s="233" t="s">
        <v>770</v>
      </c>
      <c r="E360" s="234" t="s">
        <v>0</v>
      </c>
      <c r="F360" s="235">
        <v>1</v>
      </c>
      <c r="G360" s="236">
        <f>0.25+0.15+0.15</f>
        <v>0.55000000000000004</v>
      </c>
      <c r="H360" s="236"/>
      <c r="I360" s="236">
        <v>2.88</v>
      </c>
      <c r="J360" s="235">
        <v>1</v>
      </c>
      <c r="K360" s="237"/>
      <c r="L360" s="237">
        <f t="shared" si="64"/>
        <v>1.5840000000000001</v>
      </c>
      <c r="M360" s="111"/>
      <c r="N360" s="111"/>
      <c r="O360" s="111"/>
      <c r="P360" s="111"/>
    </row>
    <row r="361" spans="3:16" x14ac:dyDescent="0.3">
      <c r="C361" s="114"/>
      <c r="D361" s="233" t="s">
        <v>771</v>
      </c>
      <c r="E361" s="234" t="s">
        <v>0</v>
      </c>
      <c r="F361" s="235">
        <v>1</v>
      </c>
      <c r="G361" s="236">
        <f>0.15</f>
        <v>0.15</v>
      </c>
      <c r="H361" s="236"/>
      <c r="I361" s="236">
        <v>3.88</v>
      </c>
      <c r="J361" s="235">
        <v>1</v>
      </c>
      <c r="K361" s="237"/>
      <c r="L361" s="237">
        <f t="shared" si="64"/>
        <v>0.58199999999999996</v>
      </c>
      <c r="M361" s="111"/>
      <c r="N361" s="111"/>
      <c r="O361" s="111"/>
      <c r="P361" s="111"/>
    </row>
    <row r="362" spans="3:16" x14ac:dyDescent="0.3">
      <c r="C362" s="114"/>
      <c r="D362" s="233" t="s">
        <v>772</v>
      </c>
      <c r="E362" s="234" t="s">
        <v>0</v>
      </c>
      <c r="F362" s="235">
        <v>1</v>
      </c>
      <c r="G362" s="236">
        <f>1.3+1.2</f>
        <v>2.5</v>
      </c>
      <c r="H362" s="236"/>
      <c r="I362" s="236">
        <v>2.88</v>
      </c>
      <c r="J362" s="235">
        <v>1</v>
      </c>
      <c r="K362" s="237"/>
      <c r="L362" s="237">
        <f t="shared" si="64"/>
        <v>7.1999999999999993</v>
      </c>
      <c r="M362" s="111"/>
      <c r="N362" s="111"/>
      <c r="O362" s="111"/>
      <c r="P362" s="111"/>
    </row>
    <row r="363" spans="3:16" x14ac:dyDescent="0.3">
      <c r="C363" s="114"/>
      <c r="D363" s="265"/>
      <c r="E363" s="116"/>
      <c r="F363" s="109"/>
      <c r="G363" s="110"/>
      <c r="H363" s="110"/>
      <c r="I363" s="110"/>
      <c r="J363" s="109"/>
      <c r="K363" s="111"/>
      <c r="L363" s="111"/>
      <c r="M363" s="111"/>
      <c r="N363" s="111"/>
      <c r="O363" s="111"/>
      <c r="P363" s="111"/>
    </row>
    <row r="364" spans="3:16" ht="20.399999999999999" x14ac:dyDescent="0.3">
      <c r="C364" s="99" t="s">
        <v>1183</v>
      </c>
      <c r="D364" s="226" t="s">
        <v>122</v>
      </c>
      <c r="E364" s="101" t="s">
        <v>0</v>
      </c>
      <c r="F364" s="1"/>
      <c r="G364" s="2"/>
      <c r="H364" s="2"/>
      <c r="I364" s="2"/>
      <c r="J364" s="3"/>
      <c r="K364" s="103"/>
      <c r="L364" s="103" t="str">
        <f>IF(F364="","",PRODUCT(F364:J364))</f>
        <v/>
      </c>
      <c r="M364" s="103"/>
      <c r="N364" s="103"/>
      <c r="O364" s="103"/>
      <c r="P364" s="103">
        <f>SUM(L364:L542)</f>
        <v>265.8300000000001</v>
      </c>
    </row>
    <row r="365" spans="3:16" x14ac:dyDescent="0.3">
      <c r="C365" s="106"/>
      <c r="D365" s="115" t="s">
        <v>127</v>
      </c>
      <c r="E365" s="121"/>
      <c r="F365" s="3"/>
      <c r="G365" s="122" t="s">
        <v>198</v>
      </c>
      <c r="H365" s="122"/>
      <c r="I365" s="122"/>
      <c r="J365" s="3"/>
      <c r="K365" s="113"/>
      <c r="L365" s="113"/>
      <c r="M365" s="113"/>
      <c r="N365" s="113"/>
      <c r="O365" s="113"/>
      <c r="P365" s="113"/>
    </row>
    <row r="366" spans="3:16" x14ac:dyDescent="0.3">
      <c r="C366" s="114"/>
      <c r="D366" s="233" t="s">
        <v>774</v>
      </c>
      <c r="E366" s="234" t="s">
        <v>0</v>
      </c>
      <c r="F366" s="235">
        <v>1</v>
      </c>
      <c r="G366" s="236">
        <f>0.1+0.4</f>
        <v>0.5</v>
      </c>
      <c r="H366" s="236"/>
      <c r="I366" s="236">
        <v>3.29</v>
      </c>
      <c r="J366" s="235">
        <v>1</v>
      </c>
      <c r="K366" s="237"/>
      <c r="L366" s="237">
        <f t="shared" ref="L366:L425" si="65">IF(F366="","",PRODUCT(F366:J366))</f>
        <v>1.645</v>
      </c>
      <c r="M366" s="111"/>
      <c r="N366" s="111"/>
      <c r="O366" s="111"/>
      <c r="P366" s="111"/>
    </row>
    <row r="367" spans="3:16" x14ac:dyDescent="0.3">
      <c r="C367" s="114"/>
      <c r="D367" s="233" t="s">
        <v>717</v>
      </c>
      <c r="E367" s="234" t="s">
        <v>0</v>
      </c>
      <c r="F367" s="235">
        <v>1</v>
      </c>
      <c r="G367" s="236">
        <f>0.1+0.2</f>
        <v>0.30000000000000004</v>
      </c>
      <c r="H367" s="236"/>
      <c r="I367" s="236">
        <v>2.2000000000000002</v>
      </c>
      <c r="J367" s="235">
        <v>1</v>
      </c>
      <c r="K367" s="237"/>
      <c r="L367" s="237">
        <f t="shared" si="65"/>
        <v>0.66000000000000014</v>
      </c>
      <c r="M367" s="111"/>
      <c r="N367" s="111"/>
      <c r="O367" s="111"/>
      <c r="P367" s="111"/>
    </row>
    <row r="368" spans="3:16" x14ac:dyDescent="0.3">
      <c r="C368" s="114"/>
      <c r="D368" s="233" t="s">
        <v>775</v>
      </c>
      <c r="E368" s="234" t="s">
        <v>0</v>
      </c>
      <c r="F368" s="235">
        <v>1</v>
      </c>
      <c r="G368" s="236">
        <f>0.25+0.2</f>
        <v>0.45</v>
      </c>
      <c r="H368" s="236"/>
      <c r="I368" s="236">
        <f>2.83+1</f>
        <v>3.83</v>
      </c>
      <c r="J368" s="235">
        <v>1</v>
      </c>
      <c r="K368" s="237"/>
      <c r="L368" s="237">
        <f t="shared" si="65"/>
        <v>1.7235</v>
      </c>
      <c r="M368" s="111"/>
      <c r="N368" s="111"/>
      <c r="O368" s="111"/>
      <c r="P368" s="111"/>
    </row>
    <row r="369" spans="3:16" x14ac:dyDescent="0.3">
      <c r="C369" s="114"/>
      <c r="D369" s="233" t="s">
        <v>776</v>
      </c>
      <c r="E369" s="234" t="s">
        <v>0</v>
      </c>
      <c r="F369" s="235">
        <v>1</v>
      </c>
      <c r="G369" s="236">
        <f>0.25+0.2+0.2</f>
        <v>0.65</v>
      </c>
      <c r="H369" s="236"/>
      <c r="I369" s="236">
        <v>2.63</v>
      </c>
      <c r="J369" s="235">
        <v>1</v>
      </c>
      <c r="K369" s="237"/>
      <c r="L369" s="237">
        <f t="shared" si="65"/>
        <v>1.7095</v>
      </c>
      <c r="M369" s="111"/>
      <c r="N369" s="111"/>
      <c r="O369" s="111"/>
      <c r="P369" s="111"/>
    </row>
    <row r="370" spans="3:16" x14ac:dyDescent="0.3">
      <c r="C370" s="114"/>
      <c r="D370" s="233" t="s">
        <v>777</v>
      </c>
      <c r="E370" s="234" t="s">
        <v>0</v>
      </c>
      <c r="F370" s="235">
        <v>1</v>
      </c>
      <c r="G370" s="236">
        <f>0.25+0.2</f>
        <v>0.45</v>
      </c>
      <c r="H370" s="236"/>
      <c r="I370" s="236">
        <v>2.63</v>
      </c>
      <c r="J370" s="235">
        <v>1</v>
      </c>
      <c r="K370" s="237"/>
      <c r="L370" s="237">
        <f t="shared" si="65"/>
        <v>1.1835</v>
      </c>
      <c r="M370" s="111"/>
      <c r="N370" s="111"/>
      <c r="O370" s="111"/>
      <c r="P370" s="111"/>
    </row>
    <row r="371" spans="3:16" x14ac:dyDescent="0.3">
      <c r="C371" s="114"/>
      <c r="D371" s="233" t="s">
        <v>778</v>
      </c>
      <c r="E371" s="234" t="s">
        <v>0</v>
      </c>
      <c r="F371" s="235">
        <v>1</v>
      </c>
      <c r="G371" s="236">
        <f>0.2+0.15</f>
        <v>0.35</v>
      </c>
      <c r="H371" s="236"/>
      <c r="I371" s="236">
        <v>5.45</v>
      </c>
      <c r="J371" s="235">
        <v>1</v>
      </c>
      <c r="K371" s="237"/>
      <c r="L371" s="237">
        <f t="shared" si="65"/>
        <v>1.9075</v>
      </c>
      <c r="M371" s="111"/>
      <c r="N371" s="111"/>
      <c r="O371" s="111"/>
      <c r="P371" s="111"/>
    </row>
    <row r="372" spans="3:16" x14ac:dyDescent="0.3">
      <c r="C372" s="114"/>
      <c r="D372" s="233" t="s">
        <v>779</v>
      </c>
      <c r="E372" s="234" t="s">
        <v>0</v>
      </c>
      <c r="F372" s="235">
        <v>1</v>
      </c>
      <c r="G372" s="236">
        <f>0.25+0.2+0.2</f>
        <v>0.65</v>
      </c>
      <c r="H372" s="236"/>
      <c r="I372" s="236">
        <v>4.25</v>
      </c>
      <c r="J372" s="235">
        <v>1</v>
      </c>
      <c r="K372" s="237"/>
      <c r="L372" s="237">
        <f t="shared" si="65"/>
        <v>2.7625000000000002</v>
      </c>
      <c r="M372" s="111"/>
      <c r="N372" s="111"/>
      <c r="O372" s="111"/>
      <c r="P372" s="111"/>
    </row>
    <row r="373" spans="3:16" x14ac:dyDescent="0.3">
      <c r="C373" s="114"/>
      <c r="D373" s="233" t="s">
        <v>780</v>
      </c>
      <c r="E373" s="234" t="s">
        <v>0</v>
      </c>
      <c r="F373" s="235">
        <v>1</v>
      </c>
      <c r="G373" s="236">
        <f>0.1+0.2</f>
        <v>0.30000000000000004</v>
      </c>
      <c r="H373" s="236"/>
      <c r="I373" s="236">
        <v>4.25</v>
      </c>
      <c r="J373" s="235">
        <v>1</v>
      </c>
      <c r="K373" s="237"/>
      <c r="L373" s="237">
        <f t="shared" si="65"/>
        <v>1.2750000000000001</v>
      </c>
      <c r="M373" s="111"/>
      <c r="N373" s="111"/>
      <c r="O373" s="111"/>
      <c r="P373" s="111"/>
    </row>
    <row r="374" spans="3:16" x14ac:dyDescent="0.3">
      <c r="C374" s="114"/>
      <c r="D374" s="233" t="s">
        <v>781</v>
      </c>
      <c r="E374" s="234" t="s">
        <v>0</v>
      </c>
      <c r="F374" s="235">
        <v>1</v>
      </c>
      <c r="G374" s="236">
        <f>0.1+0.2+0.2</f>
        <v>0.5</v>
      </c>
      <c r="H374" s="236"/>
      <c r="I374" s="236">
        <v>2.2000000000000002</v>
      </c>
      <c r="J374" s="235">
        <v>1</v>
      </c>
      <c r="K374" s="237"/>
      <c r="L374" s="237">
        <f t="shared" si="65"/>
        <v>1.1000000000000001</v>
      </c>
      <c r="M374" s="111"/>
      <c r="N374" s="111"/>
      <c r="O374" s="111"/>
      <c r="P374" s="111"/>
    </row>
    <row r="375" spans="3:16" x14ac:dyDescent="0.3">
      <c r="C375" s="114"/>
      <c r="D375" s="233" t="s">
        <v>782</v>
      </c>
      <c r="E375" s="234" t="s">
        <v>0</v>
      </c>
      <c r="F375" s="235">
        <v>1</v>
      </c>
      <c r="G375" s="236">
        <f>0.1+0.2+0.2</f>
        <v>0.5</v>
      </c>
      <c r="H375" s="236"/>
      <c r="I375" s="236">
        <v>5.63</v>
      </c>
      <c r="J375" s="235">
        <v>1</v>
      </c>
      <c r="K375" s="237"/>
      <c r="L375" s="237">
        <f t="shared" si="65"/>
        <v>2.8149999999999999</v>
      </c>
      <c r="M375" s="111"/>
      <c r="N375" s="111"/>
      <c r="O375" s="111"/>
      <c r="P375" s="111"/>
    </row>
    <row r="376" spans="3:16" x14ac:dyDescent="0.3">
      <c r="C376" s="114"/>
      <c r="D376" s="233" t="s">
        <v>783</v>
      </c>
      <c r="E376" s="234" t="s">
        <v>0</v>
      </c>
      <c r="F376" s="235">
        <v>1</v>
      </c>
      <c r="G376" s="236">
        <f>0.25+0.2+0.2</f>
        <v>0.65</v>
      </c>
      <c r="H376" s="236"/>
      <c r="I376" s="236">
        <v>1.2</v>
      </c>
      <c r="J376" s="235">
        <v>1</v>
      </c>
      <c r="K376" s="237"/>
      <c r="L376" s="237">
        <f t="shared" si="65"/>
        <v>0.78</v>
      </c>
      <c r="M376" s="111"/>
      <c r="N376" s="111"/>
      <c r="O376" s="111"/>
      <c r="P376" s="111"/>
    </row>
    <row r="377" spans="3:16" x14ac:dyDescent="0.3">
      <c r="C377" s="114"/>
      <c r="D377" s="233"/>
      <c r="E377" s="234" t="s">
        <v>0</v>
      </c>
      <c r="F377" s="235">
        <v>1</v>
      </c>
      <c r="G377" s="236">
        <f>0.1+0.2+0.2</f>
        <v>0.5</v>
      </c>
      <c r="H377" s="236"/>
      <c r="I377" s="236">
        <v>1</v>
      </c>
      <c r="J377" s="235">
        <v>1</v>
      </c>
      <c r="K377" s="237"/>
      <c r="L377" s="237">
        <f t="shared" si="65"/>
        <v>0.5</v>
      </c>
      <c r="M377" s="111"/>
      <c r="N377" s="111"/>
      <c r="O377" s="111"/>
      <c r="P377" s="111"/>
    </row>
    <row r="378" spans="3:16" x14ac:dyDescent="0.3">
      <c r="C378" s="114"/>
      <c r="D378" s="233" t="s">
        <v>784</v>
      </c>
      <c r="E378" s="234" t="s">
        <v>0</v>
      </c>
      <c r="F378" s="235">
        <v>1</v>
      </c>
      <c r="G378" s="236">
        <f>0.1+0.2+0.2</f>
        <v>0.5</v>
      </c>
      <c r="H378" s="236"/>
      <c r="I378" s="236">
        <v>5.69</v>
      </c>
      <c r="J378" s="235">
        <v>1</v>
      </c>
      <c r="K378" s="237"/>
      <c r="L378" s="237">
        <f t="shared" si="65"/>
        <v>2.8450000000000002</v>
      </c>
      <c r="M378" s="111"/>
      <c r="N378" s="111"/>
      <c r="O378" s="111"/>
      <c r="P378" s="111"/>
    </row>
    <row r="379" spans="3:16" x14ac:dyDescent="0.3">
      <c r="C379" s="114"/>
      <c r="D379" s="233" t="s">
        <v>785</v>
      </c>
      <c r="E379" s="234" t="s">
        <v>0</v>
      </c>
      <c r="F379" s="235">
        <v>1</v>
      </c>
      <c r="G379" s="236">
        <f>0.25+0.2</f>
        <v>0.45</v>
      </c>
      <c r="H379" s="236"/>
      <c r="I379" s="236">
        <v>4.3499999999999996</v>
      </c>
      <c r="J379" s="235">
        <v>1</v>
      </c>
      <c r="K379" s="237"/>
      <c r="L379" s="237">
        <f t="shared" si="65"/>
        <v>1.9574999999999998</v>
      </c>
      <c r="M379" s="111"/>
      <c r="N379" s="111"/>
      <c r="O379" s="111"/>
      <c r="P379" s="111"/>
    </row>
    <row r="380" spans="3:16" x14ac:dyDescent="0.3">
      <c r="C380" s="114"/>
      <c r="D380" s="233" t="s">
        <v>786</v>
      </c>
      <c r="E380" s="234" t="s">
        <v>0</v>
      </c>
      <c r="F380" s="235">
        <v>1</v>
      </c>
      <c r="G380" s="236">
        <f>0.25+0.2+0.2</f>
        <v>0.65</v>
      </c>
      <c r="H380" s="236"/>
      <c r="I380" s="236">
        <v>3.84</v>
      </c>
      <c r="J380" s="235">
        <v>1</v>
      </c>
      <c r="K380" s="237"/>
      <c r="L380" s="237">
        <f t="shared" si="65"/>
        <v>2.496</v>
      </c>
      <c r="M380" s="111"/>
      <c r="N380" s="111"/>
      <c r="O380" s="111"/>
      <c r="P380" s="111"/>
    </row>
    <row r="381" spans="3:16" x14ac:dyDescent="0.3">
      <c r="C381" s="114"/>
      <c r="D381" s="233"/>
      <c r="E381" s="234" t="s">
        <v>0</v>
      </c>
      <c r="F381" s="235">
        <v>1</v>
      </c>
      <c r="G381" s="236">
        <f>0.1+0.2+0.2</f>
        <v>0.5</v>
      </c>
      <c r="H381" s="236"/>
      <c r="I381" s="236">
        <v>0.51</v>
      </c>
      <c r="J381" s="235">
        <v>1</v>
      </c>
      <c r="K381" s="237"/>
      <c r="L381" s="237">
        <f t="shared" si="65"/>
        <v>0.255</v>
      </c>
      <c r="M381" s="111"/>
      <c r="N381" s="111"/>
      <c r="O381" s="111"/>
      <c r="P381" s="111"/>
    </row>
    <row r="382" spans="3:16" x14ac:dyDescent="0.3">
      <c r="C382" s="114"/>
      <c r="D382" s="233" t="s">
        <v>787</v>
      </c>
      <c r="E382" s="234" t="s">
        <v>0</v>
      </c>
      <c r="F382" s="235">
        <v>1</v>
      </c>
      <c r="G382" s="236">
        <f>0.1+0.2</f>
        <v>0.30000000000000004</v>
      </c>
      <c r="H382" s="236"/>
      <c r="I382" s="236">
        <v>2.2999999999999998</v>
      </c>
      <c r="J382" s="235">
        <v>1</v>
      </c>
      <c r="K382" s="237"/>
      <c r="L382" s="237">
        <f t="shared" si="65"/>
        <v>0.69000000000000006</v>
      </c>
      <c r="M382" s="111"/>
      <c r="N382" s="111"/>
      <c r="O382" s="111"/>
      <c r="P382" s="111"/>
    </row>
    <row r="383" spans="3:16" x14ac:dyDescent="0.3">
      <c r="C383" s="114"/>
      <c r="D383" s="233"/>
      <c r="E383" s="234" t="s">
        <v>0</v>
      </c>
      <c r="F383" s="235">
        <v>1</v>
      </c>
      <c r="G383" s="236">
        <f>0.1+0.2</f>
        <v>0.30000000000000004</v>
      </c>
      <c r="H383" s="236"/>
      <c r="I383" s="236">
        <v>0.5</v>
      </c>
      <c r="J383" s="235">
        <v>1</v>
      </c>
      <c r="K383" s="237"/>
      <c r="L383" s="237">
        <f t="shared" si="65"/>
        <v>0.15000000000000002</v>
      </c>
      <c r="M383" s="111"/>
      <c r="N383" s="111"/>
      <c r="O383" s="111"/>
      <c r="P383" s="111"/>
    </row>
    <row r="384" spans="3:16" x14ac:dyDescent="0.3">
      <c r="C384" s="114"/>
      <c r="D384" s="233"/>
      <c r="E384" s="234" t="s">
        <v>0</v>
      </c>
      <c r="F384" s="235">
        <v>1</v>
      </c>
      <c r="G384" s="236">
        <f>0.25+0.2+0.2</f>
        <v>0.65</v>
      </c>
      <c r="H384" s="236"/>
      <c r="I384" s="236">
        <v>1.55</v>
      </c>
      <c r="J384" s="235">
        <v>1</v>
      </c>
      <c r="K384" s="237"/>
      <c r="L384" s="237">
        <f t="shared" si="65"/>
        <v>1.0075000000000001</v>
      </c>
      <c r="M384" s="111"/>
      <c r="N384" s="111"/>
      <c r="O384" s="111"/>
      <c r="P384" s="111"/>
    </row>
    <row r="385" spans="3:16" x14ac:dyDescent="0.3">
      <c r="C385" s="114"/>
      <c r="D385" s="233" t="s">
        <v>788</v>
      </c>
      <c r="E385" s="234" t="s">
        <v>0</v>
      </c>
      <c r="F385" s="235">
        <v>1</v>
      </c>
      <c r="G385" s="236">
        <f>0.25+0.2+0.2</f>
        <v>0.65</v>
      </c>
      <c r="H385" s="236"/>
      <c r="I385" s="236">
        <v>2.2000000000000002</v>
      </c>
      <c r="J385" s="235">
        <v>1</v>
      </c>
      <c r="K385" s="237"/>
      <c r="L385" s="237">
        <f t="shared" si="65"/>
        <v>1.4300000000000002</v>
      </c>
      <c r="M385" s="111"/>
      <c r="N385" s="111"/>
      <c r="O385" s="111"/>
      <c r="P385" s="111"/>
    </row>
    <row r="386" spans="3:16" x14ac:dyDescent="0.3">
      <c r="C386" s="114"/>
      <c r="D386" s="233" t="s">
        <v>789</v>
      </c>
      <c r="E386" s="234" t="s">
        <v>0</v>
      </c>
      <c r="F386" s="235">
        <v>1</v>
      </c>
      <c r="G386" s="236">
        <f>0.25+0.2+0.2</f>
        <v>0.65</v>
      </c>
      <c r="H386" s="236"/>
      <c r="I386" s="236">
        <v>5.69</v>
      </c>
      <c r="J386" s="235">
        <v>1</v>
      </c>
      <c r="K386" s="237"/>
      <c r="L386" s="237">
        <f t="shared" si="65"/>
        <v>3.6985000000000006</v>
      </c>
      <c r="M386" s="111"/>
      <c r="N386" s="111"/>
      <c r="O386" s="111"/>
      <c r="P386" s="111"/>
    </row>
    <row r="387" spans="3:16" x14ac:dyDescent="0.3">
      <c r="C387" s="114"/>
      <c r="D387" s="233" t="s">
        <v>790</v>
      </c>
      <c r="E387" s="234" t="s">
        <v>0</v>
      </c>
      <c r="F387" s="235">
        <v>1</v>
      </c>
      <c r="G387" s="236">
        <f>0.25+0.2</f>
        <v>0.45</v>
      </c>
      <c r="H387" s="236"/>
      <c r="I387" s="236">
        <v>3.81</v>
      </c>
      <c r="J387" s="235">
        <v>1</v>
      </c>
      <c r="K387" s="237"/>
      <c r="L387" s="237">
        <f t="shared" si="65"/>
        <v>1.7145000000000001</v>
      </c>
      <c r="M387" s="111"/>
      <c r="N387" s="111"/>
      <c r="O387" s="111"/>
      <c r="P387" s="111"/>
    </row>
    <row r="388" spans="3:16" x14ac:dyDescent="0.3">
      <c r="C388" s="114"/>
      <c r="D388" s="233" t="s">
        <v>791</v>
      </c>
      <c r="E388" s="234" t="s">
        <v>0</v>
      </c>
      <c r="F388" s="235">
        <v>1</v>
      </c>
      <c r="G388" s="236">
        <f>0.25+0.2+0.2</f>
        <v>0.65</v>
      </c>
      <c r="H388" s="236"/>
      <c r="I388" s="236">
        <v>3.81</v>
      </c>
      <c r="J388" s="235">
        <v>1</v>
      </c>
      <c r="K388" s="237"/>
      <c r="L388" s="237">
        <f t="shared" si="65"/>
        <v>2.4765000000000001</v>
      </c>
      <c r="M388" s="111"/>
      <c r="N388" s="111"/>
      <c r="O388" s="111"/>
      <c r="P388" s="111"/>
    </row>
    <row r="389" spans="3:16" x14ac:dyDescent="0.3">
      <c r="C389" s="114"/>
      <c r="D389" s="233" t="s">
        <v>792</v>
      </c>
      <c r="E389" s="234" t="s">
        <v>0</v>
      </c>
      <c r="F389" s="235">
        <v>1</v>
      </c>
      <c r="G389" s="236">
        <f>0.1+0.2</f>
        <v>0.30000000000000004</v>
      </c>
      <c r="H389" s="236"/>
      <c r="I389" s="236">
        <v>2.2999999999999998</v>
      </c>
      <c r="J389" s="235">
        <v>1</v>
      </c>
      <c r="K389" s="237"/>
      <c r="L389" s="237">
        <f t="shared" si="65"/>
        <v>0.69000000000000006</v>
      </c>
      <c r="M389" s="111"/>
      <c r="N389" s="111"/>
      <c r="O389" s="111"/>
      <c r="P389" s="111"/>
    </row>
    <row r="390" spans="3:16" x14ac:dyDescent="0.3">
      <c r="C390" s="114"/>
      <c r="D390" s="233"/>
      <c r="E390" s="234" t="s">
        <v>0</v>
      </c>
      <c r="F390" s="235">
        <v>1</v>
      </c>
      <c r="G390" s="236">
        <f>0.1+0.2</f>
        <v>0.30000000000000004</v>
      </c>
      <c r="H390" s="236"/>
      <c r="I390" s="236">
        <v>1.5</v>
      </c>
      <c r="J390" s="235">
        <v>1</v>
      </c>
      <c r="K390" s="237"/>
      <c r="L390" s="237">
        <f t="shared" si="65"/>
        <v>0.45000000000000007</v>
      </c>
      <c r="M390" s="111"/>
      <c r="N390" s="111"/>
      <c r="O390" s="111"/>
      <c r="P390" s="111"/>
    </row>
    <row r="391" spans="3:16" x14ac:dyDescent="0.3">
      <c r="C391" s="114"/>
      <c r="D391" s="233" t="s">
        <v>793</v>
      </c>
      <c r="E391" s="234" t="s">
        <v>0</v>
      </c>
      <c r="F391" s="235">
        <v>1</v>
      </c>
      <c r="G391" s="236">
        <f>0.25+0.2+0.2</f>
        <v>0.65</v>
      </c>
      <c r="H391" s="236"/>
      <c r="I391" s="236">
        <v>2.1</v>
      </c>
      <c r="J391" s="235">
        <v>1</v>
      </c>
      <c r="K391" s="237"/>
      <c r="L391" s="237">
        <f t="shared" si="65"/>
        <v>1.3650000000000002</v>
      </c>
      <c r="M391" s="111"/>
      <c r="N391" s="111"/>
      <c r="O391" s="111"/>
      <c r="P391" s="111"/>
    </row>
    <row r="392" spans="3:16" x14ac:dyDescent="0.3">
      <c r="C392" s="114"/>
      <c r="D392" s="233" t="s">
        <v>794</v>
      </c>
      <c r="E392" s="234" t="s">
        <v>0</v>
      </c>
      <c r="F392" s="235">
        <v>1</v>
      </c>
      <c r="G392" s="236">
        <f>0.25+0.2+0.2</f>
        <v>0.65</v>
      </c>
      <c r="H392" s="236"/>
      <c r="I392" s="236">
        <v>5.69</v>
      </c>
      <c r="J392" s="235">
        <v>1</v>
      </c>
      <c r="K392" s="237"/>
      <c r="L392" s="237">
        <f t="shared" si="65"/>
        <v>3.6985000000000006</v>
      </c>
      <c r="M392" s="111"/>
      <c r="N392" s="111"/>
      <c r="O392" s="111"/>
      <c r="P392" s="111"/>
    </row>
    <row r="393" spans="3:16" x14ac:dyDescent="0.3">
      <c r="C393" s="114"/>
      <c r="D393" s="233" t="s">
        <v>795</v>
      </c>
      <c r="E393" s="234" t="s">
        <v>0</v>
      </c>
      <c r="F393" s="235">
        <v>1</v>
      </c>
      <c r="G393" s="236">
        <f>0.25+0.2</f>
        <v>0.45</v>
      </c>
      <c r="H393" s="236"/>
      <c r="I393" s="236">
        <v>4.34</v>
      </c>
      <c r="J393" s="235">
        <v>1</v>
      </c>
      <c r="K393" s="237"/>
      <c r="L393" s="237">
        <f t="shared" si="65"/>
        <v>1.9530000000000001</v>
      </c>
      <c r="M393" s="111"/>
      <c r="N393" s="111"/>
      <c r="O393" s="111"/>
      <c r="P393" s="111"/>
    </row>
    <row r="394" spans="3:16" x14ac:dyDescent="0.3">
      <c r="C394" s="114"/>
      <c r="D394" s="233" t="s">
        <v>796</v>
      </c>
      <c r="E394" s="234" t="s">
        <v>0</v>
      </c>
      <c r="F394" s="235">
        <v>1</v>
      </c>
      <c r="G394" s="236">
        <f>0.1+0.2+0.2</f>
        <v>0.5</v>
      </c>
      <c r="H394" s="236"/>
      <c r="I394" s="236">
        <v>1.47</v>
      </c>
      <c r="J394" s="235">
        <v>1</v>
      </c>
      <c r="K394" s="237"/>
      <c r="L394" s="237">
        <f t="shared" si="65"/>
        <v>0.73499999999999999</v>
      </c>
      <c r="M394" s="111"/>
      <c r="N394" s="111"/>
      <c r="O394" s="111"/>
      <c r="P394" s="111"/>
    </row>
    <row r="395" spans="3:16" x14ac:dyDescent="0.3">
      <c r="C395" s="114"/>
      <c r="D395" s="233"/>
      <c r="E395" s="234" t="s">
        <v>0</v>
      </c>
      <c r="F395" s="235">
        <v>1</v>
      </c>
      <c r="G395" s="236">
        <f>0.25+0.2+0.2</f>
        <v>0.65</v>
      </c>
      <c r="H395" s="236"/>
      <c r="I395" s="236">
        <v>2.87</v>
      </c>
      <c r="J395" s="235">
        <v>1</v>
      </c>
      <c r="K395" s="237"/>
      <c r="L395" s="237">
        <f t="shared" si="65"/>
        <v>1.8655000000000002</v>
      </c>
      <c r="M395" s="111"/>
      <c r="N395" s="111"/>
      <c r="O395" s="111"/>
      <c r="P395" s="111"/>
    </row>
    <row r="396" spans="3:16" x14ac:dyDescent="0.3">
      <c r="C396" s="114"/>
      <c r="D396" s="233" t="s">
        <v>797</v>
      </c>
      <c r="E396" s="234" t="s">
        <v>0</v>
      </c>
      <c r="F396" s="235">
        <v>1</v>
      </c>
      <c r="G396" s="236">
        <f>0.1+0.2</f>
        <v>0.30000000000000004</v>
      </c>
      <c r="H396" s="236"/>
      <c r="I396" s="236">
        <v>1.47</v>
      </c>
      <c r="J396" s="235">
        <v>1</v>
      </c>
      <c r="K396" s="237"/>
      <c r="L396" s="237">
        <f t="shared" si="65"/>
        <v>0.44100000000000006</v>
      </c>
      <c r="M396" s="111"/>
      <c r="N396" s="111"/>
      <c r="O396" s="111"/>
      <c r="P396" s="111"/>
    </row>
    <row r="397" spans="3:16" x14ac:dyDescent="0.3">
      <c r="C397" s="114"/>
      <c r="D397" s="280"/>
      <c r="E397" s="234" t="s">
        <v>0</v>
      </c>
      <c r="F397" s="235">
        <v>1</v>
      </c>
      <c r="G397" s="236">
        <f>0.1+0.2</f>
        <v>0.30000000000000004</v>
      </c>
      <c r="H397" s="236"/>
      <c r="I397" s="236">
        <v>1.33</v>
      </c>
      <c r="J397" s="235">
        <v>1</v>
      </c>
      <c r="K397" s="237"/>
      <c r="L397" s="237">
        <f t="shared" si="65"/>
        <v>0.39900000000000008</v>
      </c>
      <c r="M397" s="111"/>
      <c r="N397" s="111"/>
      <c r="O397" s="111"/>
      <c r="P397" s="111"/>
    </row>
    <row r="398" spans="3:16" x14ac:dyDescent="0.3">
      <c r="C398" s="114"/>
      <c r="D398" s="280"/>
      <c r="E398" s="234" t="s">
        <v>0</v>
      </c>
      <c r="F398" s="235">
        <v>1</v>
      </c>
      <c r="G398" s="236">
        <f>0.25+0.2</f>
        <v>0.45</v>
      </c>
      <c r="H398" s="236"/>
      <c r="I398" s="236">
        <v>1.56</v>
      </c>
      <c r="J398" s="235">
        <v>1</v>
      </c>
      <c r="K398" s="237"/>
      <c r="L398" s="237">
        <f t="shared" si="65"/>
        <v>0.70200000000000007</v>
      </c>
      <c r="M398" s="111"/>
      <c r="N398" s="111"/>
      <c r="O398" s="111"/>
      <c r="P398" s="111"/>
    </row>
    <row r="399" spans="3:16" x14ac:dyDescent="0.3">
      <c r="C399" s="114"/>
      <c r="D399" s="233" t="s">
        <v>798</v>
      </c>
      <c r="E399" s="234" t="s">
        <v>0</v>
      </c>
      <c r="F399" s="235">
        <v>1</v>
      </c>
      <c r="G399" s="236">
        <f>0.25+0.2+0.2</f>
        <v>0.65</v>
      </c>
      <c r="H399" s="236"/>
      <c r="I399" s="236">
        <v>2.1</v>
      </c>
      <c r="J399" s="235">
        <v>1</v>
      </c>
      <c r="K399" s="237"/>
      <c r="L399" s="237">
        <f t="shared" si="65"/>
        <v>1.3650000000000002</v>
      </c>
      <c r="M399" s="111"/>
      <c r="N399" s="111"/>
      <c r="O399" s="111"/>
      <c r="P399" s="111"/>
    </row>
    <row r="400" spans="3:16" x14ac:dyDescent="0.3">
      <c r="C400" s="114"/>
      <c r="D400" s="233" t="s">
        <v>799</v>
      </c>
      <c r="E400" s="234" t="s">
        <v>0</v>
      </c>
      <c r="F400" s="235">
        <v>1</v>
      </c>
      <c r="G400" s="236">
        <f>0.25+0.2+0.2</f>
        <v>0.65</v>
      </c>
      <c r="H400" s="236"/>
      <c r="I400" s="236">
        <v>1.2</v>
      </c>
      <c r="J400" s="235">
        <v>1</v>
      </c>
      <c r="K400" s="237"/>
      <c r="L400" s="237">
        <f t="shared" si="65"/>
        <v>0.78</v>
      </c>
      <c r="M400" s="111"/>
      <c r="N400" s="111"/>
      <c r="O400" s="111"/>
      <c r="P400" s="111"/>
    </row>
    <row r="401" spans="3:16" x14ac:dyDescent="0.3">
      <c r="C401" s="114"/>
      <c r="D401" s="233"/>
      <c r="E401" s="234" t="s">
        <v>0</v>
      </c>
      <c r="F401" s="235">
        <v>1</v>
      </c>
      <c r="G401" s="236">
        <f>0.1+0.2+0.2</f>
        <v>0.5</v>
      </c>
      <c r="H401" s="236"/>
      <c r="I401" s="236">
        <v>4.49</v>
      </c>
      <c r="J401" s="235">
        <v>1</v>
      </c>
      <c r="K401" s="237"/>
      <c r="L401" s="237">
        <f t="shared" si="65"/>
        <v>2.2450000000000001</v>
      </c>
      <c r="M401" s="111"/>
      <c r="N401" s="111"/>
      <c r="O401" s="111"/>
      <c r="P401" s="111"/>
    </row>
    <row r="402" spans="3:16" x14ac:dyDescent="0.3">
      <c r="C402" s="114"/>
      <c r="D402" s="233" t="s">
        <v>800</v>
      </c>
      <c r="E402" s="234" t="s">
        <v>0</v>
      </c>
      <c r="F402" s="235">
        <v>1</v>
      </c>
      <c r="G402" s="236">
        <f>0.25+0.2</f>
        <v>0.45</v>
      </c>
      <c r="H402" s="236"/>
      <c r="I402" s="236">
        <v>3.78</v>
      </c>
      <c r="J402" s="235">
        <v>1</v>
      </c>
      <c r="K402" s="237"/>
      <c r="L402" s="237">
        <f t="shared" si="65"/>
        <v>1.7009999999999998</v>
      </c>
      <c r="M402" s="111"/>
      <c r="N402" s="111"/>
      <c r="O402" s="111"/>
      <c r="P402" s="111"/>
    </row>
    <row r="403" spans="3:16" x14ac:dyDescent="0.3">
      <c r="C403" s="114"/>
      <c r="D403" s="233" t="s">
        <v>801</v>
      </c>
      <c r="E403" s="234" t="s">
        <v>0</v>
      </c>
      <c r="F403" s="235">
        <v>1</v>
      </c>
      <c r="G403" s="236">
        <f>0.25+0.2+0.2</f>
        <v>0.65</v>
      </c>
      <c r="H403" s="236"/>
      <c r="I403" s="236">
        <f>1.5+2.28</f>
        <v>3.78</v>
      </c>
      <c r="J403" s="235">
        <v>1</v>
      </c>
      <c r="K403" s="237"/>
      <c r="L403" s="237">
        <f t="shared" si="65"/>
        <v>2.4569999999999999</v>
      </c>
      <c r="M403" s="111"/>
      <c r="N403" s="111"/>
      <c r="O403" s="111"/>
      <c r="P403" s="111"/>
    </row>
    <row r="404" spans="3:16" x14ac:dyDescent="0.3">
      <c r="C404" s="114"/>
      <c r="D404" s="233" t="s">
        <v>802</v>
      </c>
      <c r="E404" s="234" t="s">
        <v>0</v>
      </c>
      <c r="F404" s="235">
        <v>1</v>
      </c>
      <c r="G404" s="236">
        <f>0.1+0.2</f>
        <v>0.30000000000000004</v>
      </c>
      <c r="H404" s="236"/>
      <c r="I404" s="236">
        <v>2.2799999999999998</v>
      </c>
      <c r="J404" s="235">
        <v>1</v>
      </c>
      <c r="K404" s="237"/>
      <c r="L404" s="237">
        <f t="shared" si="65"/>
        <v>0.68400000000000005</v>
      </c>
      <c r="M404" s="111"/>
      <c r="N404" s="111"/>
      <c r="O404" s="111"/>
      <c r="P404" s="111"/>
    </row>
    <row r="405" spans="3:16" x14ac:dyDescent="0.3">
      <c r="C405" s="114"/>
      <c r="D405" s="280"/>
      <c r="E405" s="234" t="s">
        <v>0</v>
      </c>
      <c r="F405" s="235">
        <v>1</v>
      </c>
      <c r="G405" s="236">
        <f>0.25+0.2</f>
        <v>0.45</v>
      </c>
      <c r="H405" s="236"/>
      <c r="I405" s="236">
        <v>1.5</v>
      </c>
      <c r="J405" s="235">
        <v>1</v>
      </c>
      <c r="K405" s="237"/>
      <c r="L405" s="237">
        <f t="shared" si="65"/>
        <v>0.67500000000000004</v>
      </c>
      <c r="M405" s="111"/>
      <c r="N405" s="111"/>
      <c r="O405" s="111"/>
      <c r="P405" s="111"/>
    </row>
    <row r="406" spans="3:16" x14ac:dyDescent="0.3">
      <c r="C406" s="114"/>
      <c r="D406" s="233" t="s">
        <v>803</v>
      </c>
      <c r="E406" s="234" t="s">
        <v>0</v>
      </c>
      <c r="F406" s="235">
        <v>1</v>
      </c>
      <c r="G406" s="236">
        <f>0.25+0.2+0.2</f>
        <v>0.65</v>
      </c>
      <c r="H406" s="236"/>
      <c r="I406" s="236">
        <v>2.2000000000000002</v>
      </c>
      <c r="J406" s="235">
        <v>1</v>
      </c>
      <c r="K406" s="237"/>
      <c r="L406" s="237">
        <f t="shared" si="65"/>
        <v>1.4300000000000002</v>
      </c>
      <c r="M406" s="111"/>
      <c r="N406" s="111"/>
      <c r="O406" s="111"/>
      <c r="P406" s="111"/>
    </row>
    <row r="407" spans="3:16" x14ac:dyDescent="0.3">
      <c r="C407" s="114"/>
      <c r="D407" s="233" t="s">
        <v>804</v>
      </c>
      <c r="E407" s="234" t="s">
        <v>0</v>
      </c>
      <c r="F407" s="235">
        <v>1</v>
      </c>
      <c r="G407" s="236">
        <f>0.25+0.2+0.2</f>
        <v>0.65</v>
      </c>
      <c r="H407" s="236"/>
      <c r="I407" s="236">
        <v>5.69</v>
      </c>
      <c r="J407" s="235">
        <v>1</v>
      </c>
      <c r="K407" s="237"/>
      <c r="L407" s="237">
        <f t="shared" si="65"/>
        <v>3.6985000000000006</v>
      </c>
      <c r="M407" s="111"/>
      <c r="N407" s="111"/>
      <c r="O407" s="111"/>
      <c r="P407" s="111"/>
    </row>
    <row r="408" spans="3:16" x14ac:dyDescent="0.3">
      <c r="C408" s="114"/>
      <c r="D408" s="233" t="s">
        <v>805</v>
      </c>
      <c r="E408" s="234" t="s">
        <v>0</v>
      </c>
      <c r="F408" s="235">
        <v>1</v>
      </c>
      <c r="G408" s="236">
        <f>0.25+0.2</f>
        <v>0.45</v>
      </c>
      <c r="H408" s="236"/>
      <c r="I408" s="236">
        <v>4.3600000000000003</v>
      </c>
      <c r="J408" s="235">
        <v>1</v>
      </c>
      <c r="K408" s="237"/>
      <c r="L408" s="237">
        <f t="shared" si="65"/>
        <v>1.9620000000000002</v>
      </c>
      <c r="M408" s="111"/>
      <c r="N408" s="111"/>
      <c r="O408" s="111"/>
      <c r="P408" s="111"/>
    </row>
    <row r="409" spans="3:16" x14ac:dyDescent="0.3">
      <c r="C409" s="114"/>
      <c r="D409" s="233" t="s">
        <v>806</v>
      </c>
      <c r="E409" s="234" t="s">
        <v>0</v>
      </c>
      <c r="F409" s="235">
        <v>1</v>
      </c>
      <c r="G409" s="236">
        <f>0.25+0.2+0.2</f>
        <v>0.65</v>
      </c>
      <c r="H409" s="236"/>
      <c r="I409" s="236">
        <f>1.63+1.53</f>
        <v>3.16</v>
      </c>
      <c r="J409" s="235">
        <v>1</v>
      </c>
      <c r="K409" s="237"/>
      <c r="L409" s="237">
        <f t="shared" si="65"/>
        <v>2.0540000000000003</v>
      </c>
      <c r="M409" s="111"/>
      <c r="N409" s="111"/>
      <c r="O409" s="111"/>
      <c r="P409" s="111"/>
    </row>
    <row r="410" spans="3:16" x14ac:dyDescent="0.3">
      <c r="C410" s="114"/>
      <c r="D410" s="233" t="s">
        <v>807</v>
      </c>
      <c r="E410" s="234" t="s">
        <v>0</v>
      </c>
      <c r="F410" s="235">
        <v>1</v>
      </c>
      <c r="G410" s="236">
        <f>0.1+0.2</f>
        <v>0.30000000000000004</v>
      </c>
      <c r="H410" s="236"/>
      <c r="I410" s="236">
        <v>1.63</v>
      </c>
      <c r="J410" s="235">
        <v>1</v>
      </c>
      <c r="K410" s="237"/>
      <c r="L410" s="237">
        <f t="shared" si="65"/>
        <v>0.48900000000000005</v>
      </c>
      <c r="M410" s="111"/>
      <c r="N410" s="111"/>
      <c r="O410" s="111"/>
      <c r="P410" s="111"/>
    </row>
    <row r="411" spans="3:16" x14ac:dyDescent="0.3">
      <c r="C411" s="114"/>
      <c r="D411" s="280"/>
      <c r="E411" s="234" t="s">
        <v>0</v>
      </c>
      <c r="F411" s="235">
        <v>1</v>
      </c>
      <c r="G411" s="236">
        <f>0.25+0.2</f>
        <v>0.45</v>
      </c>
      <c r="H411" s="236"/>
      <c r="I411" s="236">
        <v>1.53</v>
      </c>
      <c r="J411" s="235">
        <v>1</v>
      </c>
      <c r="K411" s="237"/>
      <c r="L411" s="237">
        <f t="shared" si="65"/>
        <v>0.6885</v>
      </c>
      <c r="M411" s="111"/>
      <c r="N411" s="111"/>
      <c r="O411" s="111"/>
      <c r="P411" s="111"/>
    </row>
    <row r="412" spans="3:16" x14ac:dyDescent="0.3">
      <c r="C412" s="114"/>
      <c r="D412" s="233" t="s">
        <v>808</v>
      </c>
      <c r="E412" s="234" t="s">
        <v>0</v>
      </c>
      <c r="F412" s="235">
        <v>1</v>
      </c>
      <c r="G412" s="236">
        <f>0.25+0.2+0.2</f>
        <v>0.65</v>
      </c>
      <c r="H412" s="236"/>
      <c r="I412" s="236">
        <v>2.2000000000000002</v>
      </c>
      <c r="J412" s="235">
        <v>1</v>
      </c>
      <c r="K412" s="237"/>
      <c r="L412" s="237">
        <f t="shared" si="65"/>
        <v>1.4300000000000002</v>
      </c>
      <c r="M412" s="111"/>
      <c r="N412" s="111"/>
      <c r="O412" s="111"/>
      <c r="P412" s="111"/>
    </row>
    <row r="413" spans="3:16" x14ac:dyDescent="0.3">
      <c r="C413" s="114"/>
      <c r="D413" s="233" t="s">
        <v>809</v>
      </c>
      <c r="E413" s="234" t="s">
        <v>0</v>
      </c>
      <c r="F413" s="235">
        <v>1</v>
      </c>
      <c r="G413" s="236">
        <f>0.25+0.2+0.2</f>
        <v>0.65</v>
      </c>
      <c r="H413" s="236"/>
      <c r="I413" s="236">
        <v>5.69</v>
      </c>
      <c r="J413" s="235">
        <v>1</v>
      </c>
      <c r="K413" s="237"/>
      <c r="L413" s="237">
        <f t="shared" si="65"/>
        <v>3.6985000000000006</v>
      </c>
      <c r="M413" s="111"/>
      <c r="N413" s="111"/>
      <c r="O413" s="111"/>
      <c r="P413" s="111"/>
    </row>
    <row r="414" spans="3:16" x14ac:dyDescent="0.3">
      <c r="C414" s="114"/>
      <c r="D414" s="233" t="s">
        <v>805</v>
      </c>
      <c r="E414" s="234" t="s">
        <v>0</v>
      </c>
      <c r="F414" s="235">
        <v>1</v>
      </c>
      <c r="G414" s="236">
        <f>0.25+0.2</f>
        <v>0.45</v>
      </c>
      <c r="H414" s="236"/>
      <c r="I414" s="236">
        <v>3.81</v>
      </c>
      <c r="J414" s="235">
        <v>1</v>
      </c>
      <c r="K414" s="237"/>
      <c r="L414" s="237">
        <f t="shared" si="65"/>
        <v>1.7145000000000001</v>
      </c>
      <c r="M414" s="111"/>
      <c r="N414" s="111"/>
      <c r="O414" s="111"/>
      <c r="P414" s="111"/>
    </row>
    <row r="415" spans="3:16" x14ac:dyDescent="0.3">
      <c r="C415" s="114"/>
      <c r="D415" s="233" t="s">
        <v>806</v>
      </c>
      <c r="E415" s="234" t="s">
        <v>0</v>
      </c>
      <c r="F415" s="235">
        <v>1</v>
      </c>
      <c r="G415" s="236">
        <f>0.25+0.2+0.2</f>
        <v>0.65</v>
      </c>
      <c r="H415" s="236"/>
      <c r="I415" s="236">
        <f>2.3+1.5</f>
        <v>3.8</v>
      </c>
      <c r="J415" s="235">
        <v>1</v>
      </c>
      <c r="K415" s="237"/>
      <c r="L415" s="237">
        <f t="shared" si="65"/>
        <v>2.4699999999999998</v>
      </c>
      <c r="M415" s="111"/>
      <c r="N415" s="111"/>
      <c r="O415" s="111"/>
      <c r="P415" s="111"/>
    </row>
    <row r="416" spans="3:16" x14ac:dyDescent="0.3">
      <c r="C416" s="114"/>
      <c r="D416" s="233" t="s">
        <v>807</v>
      </c>
      <c r="E416" s="234" t="s">
        <v>0</v>
      </c>
      <c r="F416" s="235">
        <v>1</v>
      </c>
      <c r="G416" s="236">
        <f>0.1+0.2</f>
        <v>0.30000000000000004</v>
      </c>
      <c r="H416" s="236"/>
      <c r="I416" s="236">
        <v>2.2999999999999998</v>
      </c>
      <c r="J416" s="235">
        <v>1</v>
      </c>
      <c r="K416" s="237"/>
      <c r="L416" s="237">
        <f t="shared" si="65"/>
        <v>0.69000000000000006</v>
      </c>
      <c r="M416" s="111"/>
      <c r="N416" s="111"/>
      <c r="O416" s="111"/>
      <c r="P416" s="111"/>
    </row>
    <row r="417" spans="3:16" x14ac:dyDescent="0.3">
      <c r="C417" s="114"/>
      <c r="D417" s="280"/>
      <c r="E417" s="234" t="s">
        <v>0</v>
      </c>
      <c r="F417" s="235">
        <v>1</v>
      </c>
      <c r="G417" s="236">
        <f>0.25+0.2</f>
        <v>0.45</v>
      </c>
      <c r="H417" s="236"/>
      <c r="I417" s="236">
        <v>1.5</v>
      </c>
      <c r="J417" s="235">
        <v>1</v>
      </c>
      <c r="K417" s="237"/>
      <c r="L417" s="237">
        <f t="shared" si="65"/>
        <v>0.67500000000000004</v>
      </c>
      <c r="M417" s="111"/>
      <c r="N417" s="111"/>
      <c r="O417" s="111"/>
      <c r="P417" s="111"/>
    </row>
    <row r="418" spans="3:16" x14ac:dyDescent="0.3">
      <c r="C418" s="114"/>
      <c r="D418" s="233" t="s">
        <v>810</v>
      </c>
      <c r="E418" s="234" t="s">
        <v>0</v>
      </c>
      <c r="F418" s="235">
        <v>1</v>
      </c>
      <c r="G418" s="236">
        <f>0.25+0.2+0.2</f>
        <v>0.65</v>
      </c>
      <c r="H418" s="236"/>
      <c r="I418" s="236">
        <v>2.2000000000000002</v>
      </c>
      <c r="J418" s="235">
        <v>1</v>
      </c>
      <c r="K418" s="237"/>
      <c r="L418" s="237">
        <f t="shared" si="65"/>
        <v>1.4300000000000002</v>
      </c>
      <c r="M418" s="111"/>
      <c r="N418" s="111"/>
      <c r="O418" s="111"/>
      <c r="P418" s="111"/>
    </row>
    <row r="419" spans="3:16" x14ac:dyDescent="0.3">
      <c r="C419" s="114"/>
      <c r="D419" s="233" t="s">
        <v>811</v>
      </c>
      <c r="E419" s="234" t="s">
        <v>0</v>
      </c>
      <c r="F419" s="235">
        <v>1</v>
      </c>
      <c r="G419" s="236">
        <f>0.1+0.2+0.2</f>
        <v>0.5</v>
      </c>
      <c r="H419" s="236"/>
      <c r="I419" s="236">
        <v>5.69</v>
      </c>
      <c r="J419" s="235">
        <v>1</v>
      </c>
      <c r="K419" s="237"/>
      <c r="L419" s="237">
        <f t="shared" si="65"/>
        <v>2.8450000000000002</v>
      </c>
      <c r="M419" s="111"/>
      <c r="N419" s="111"/>
      <c r="O419" s="111"/>
      <c r="P419" s="111"/>
    </row>
    <row r="420" spans="3:16" x14ac:dyDescent="0.3">
      <c r="C420" s="114"/>
      <c r="D420" s="233" t="s">
        <v>812</v>
      </c>
      <c r="E420" s="234" t="s">
        <v>0</v>
      </c>
      <c r="F420" s="235">
        <v>1</v>
      </c>
      <c r="G420" s="236">
        <f>0.25+0.2</f>
        <v>0.45</v>
      </c>
      <c r="H420" s="236"/>
      <c r="I420" s="236">
        <v>3.7</v>
      </c>
      <c r="J420" s="235">
        <v>1</v>
      </c>
      <c r="K420" s="237"/>
      <c r="L420" s="237">
        <f t="shared" si="65"/>
        <v>1.665</v>
      </c>
      <c r="M420" s="111"/>
      <c r="N420" s="111"/>
      <c r="O420" s="111"/>
      <c r="P420" s="111"/>
    </row>
    <row r="421" spans="3:16" x14ac:dyDescent="0.3">
      <c r="C421" s="114"/>
      <c r="D421" s="233" t="s">
        <v>813</v>
      </c>
      <c r="E421" s="234" t="s">
        <v>0</v>
      </c>
      <c r="F421" s="235">
        <v>1</v>
      </c>
      <c r="G421" s="236">
        <f>0.25+0.2+0.2</f>
        <v>0.65</v>
      </c>
      <c r="H421" s="236"/>
      <c r="I421" s="236">
        <v>2.5</v>
      </c>
      <c r="J421" s="235">
        <v>1</v>
      </c>
      <c r="K421" s="237"/>
      <c r="L421" s="237">
        <f t="shared" si="65"/>
        <v>1.625</v>
      </c>
      <c r="M421" s="111"/>
      <c r="N421" s="111"/>
      <c r="O421" s="111"/>
      <c r="P421" s="111"/>
    </row>
    <row r="422" spans="3:16" x14ac:dyDescent="0.3">
      <c r="C422" s="114"/>
      <c r="D422" s="233" t="s">
        <v>814</v>
      </c>
      <c r="E422" s="234" t="s">
        <v>0</v>
      </c>
      <c r="F422" s="235">
        <v>1</v>
      </c>
      <c r="G422" s="236">
        <f>0.1+0.2</f>
        <v>0.30000000000000004</v>
      </c>
      <c r="H422" s="236"/>
      <c r="I422" s="236">
        <v>2.5</v>
      </c>
      <c r="J422" s="235">
        <v>1</v>
      </c>
      <c r="K422" s="237"/>
      <c r="L422" s="237">
        <f t="shared" si="65"/>
        <v>0.75000000000000011</v>
      </c>
      <c r="M422" s="111"/>
      <c r="N422" s="111"/>
      <c r="O422" s="111"/>
      <c r="P422" s="111"/>
    </row>
    <row r="423" spans="3:16" x14ac:dyDescent="0.3">
      <c r="C423" s="114"/>
      <c r="D423" s="233" t="s">
        <v>815</v>
      </c>
      <c r="E423" s="234" t="s">
        <v>0</v>
      </c>
      <c r="F423" s="235">
        <v>1</v>
      </c>
      <c r="G423" s="236">
        <f>0.25+0.2</f>
        <v>0.45</v>
      </c>
      <c r="H423" s="236"/>
      <c r="I423" s="236">
        <v>2.2000000000000002</v>
      </c>
      <c r="J423" s="235">
        <v>1</v>
      </c>
      <c r="K423" s="237"/>
      <c r="L423" s="237">
        <f t="shared" si="65"/>
        <v>0.9900000000000001</v>
      </c>
      <c r="M423" s="111"/>
      <c r="N423" s="111"/>
      <c r="O423" s="111"/>
      <c r="P423" s="111"/>
    </row>
    <row r="424" spans="3:16" x14ac:dyDescent="0.3">
      <c r="C424" s="114"/>
      <c r="D424" s="233" t="s">
        <v>816</v>
      </c>
      <c r="E424" s="234" t="s">
        <v>0</v>
      </c>
      <c r="F424" s="235">
        <v>1</v>
      </c>
      <c r="G424" s="236">
        <f>0.2</f>
        <v>0.2</v>
      </c>
      <c r="H424" s="236"/>
      <c r="I424" s="236">
        <v>1.66</v>
      </c>
      <c r="J424" s="235">
        <v>1</v>
      </c>
      <c r="K424" s="237"/>
      <c r="L424" s="237">
        <f t="shared" si="65"/>
        <v>0.33200000000000002</v>
      </c>
      <c r="M424" s="111"/>
      <c r="N424" s="111"/>
      <c r="O424" s="111"/>
      <c r="P424" s="111"/>
    </row>
    <row r="425" spans="3:16" x14ac:dyDescent="0.3">
      <c r="C425" s="114"/>
      <c r="D425" s="233" t="s">
        <v>817</v>
      </c>
      <c r="E425" s="234" t="s">
        <v>0</v>
      </c>
      <c r="F425" s="235">
        <v>1</v>
      </c>
      <c r="G425" s="236">
        <v>0.2</v>
      </c>
      <c r="H425" s="236"/>
      <c r="I425" s="236">
        <v>1.63</v>
      </c>
      <c r="J425" s="235">
        <v>1</v>
      </c>
      <c r="K425" s="237"/>
      <c r="L425" s="237">
        <f t="shared" si="65"/>
        <v>0.32600000000000001</v>
      </c>
      <c r="M425" s="111"/>
      <c r="N425" s="111"/>
      <c r="O425" s="111"/>
      <c r="P425" s="111"/>
    </row>
    <row r="426" spans="3:16" x14ac:dyDescent="0.3">
      <c r="C426" s="114"/>
      <c r="D426" s="115" t="s">
        <v>68</v>
      </c>
      <c r="E426" s="121"/>
      <c r="F426" s="3"/>
      <c r="G426" s="122" t="s">
        <v>198</v>
      </c>
      <c r="H426" s="122"/>
      <c r="I426" s="122"/>
      <c r="J426" s="3"/>
      <c r="K426" s="113"/>
      <c r="L426" s="113"/>
      <c r="M426" s="111"/>
      <c r="N426" s="111"/>
      <c r="O426" s="111"/>
      <c r="P426" s="111"/>
    </row>
    <row r="427" spans="3:16" x14ac:dyDescent="0.3">
      <c r="C427" s="114"/>
      <c r="D427" s="233" t="s">
        <v>774</v>
      </c>
      <c r="E427" s="234" t="s">
        <v>0</v>
      </c>
      <c r="F427" s="235">
        <v>1</v>
      </c>
      <c r="G427" s="236">
        <f>0.1+0.4</f>
        <v>0.5</v>
      </c>
      <c r="H427" s="236"/>
      <c r="I427" s="236">
        <v>3.29</v>
      </c>
      <c r="J427" s="235">
        <v>1</v>
      </c>
      <c r="K427" s="237"/>
      <c r="L427" s="237">
        <f t="shared" ref="L427:L486" si="66">IF(F427="","",PRODUCT(F427:J427))</f>
        <v>1.645</v>
      </c>
      <c r="M427" s="111"/>
      <c r="N427" s="111"/>
      <c r="O427" s="111"/>
      <c r="P427" s="111"/>
    </row>
    <row r="428" spans="3:16" x14ac:dyDescent="0.3">
      <c r="C428" s="114"/>
      <c r="D428" s="233" t="s">
        <v>717</v>
      </c>
      <c r="E428" s="234" t="s">
        <v>0</v>
      </c>
      <c r="F428" s="235">
        <v>1</v>
      </c>
      <c r="G428" s="236">
        <f>0.1+0.2</f>
        <v>0.30000000000000004</v>
      </c>
      <c r="H428" s="236"/>
      <c r="I428" s="236">
        <v>2.2000000000000002</v>
      </c>
      <c r="J428" s="235">
        <v>1</v>
      </c>
      <c r="K428" s="237"/>
      <c r="L428" s="237">
        <f t="shared" si="66"/>
        <v>0.66000000000000014</v>
      </c>
      <c r="M428" s="111"/>
      <c r="N428" s="111"/>
      <c r="O428" s="111"/>
      <c r="P428" s="111"/>
    </row>
    <row r="429" spans="3:16" x14ac:dyDescent="0.3">
      <c r="C429" s="114"/>
      <c r="D429" s="233" t="s">
        <v>775</v>
      </c>
      <c r="E429" s="234" t="s">
        <v>0</v>
      </c>
      <c r="F429" s="235">
        <v>1</v>
      </c>
      <c r="G429" s="236">
        <f>0.25+0.2</f>
        <v>0.45</v>
      </c>
      <c r="H429" s="236"/>
      <c r="I429" s="236">
        <f>2.83+1</f>
        <v>3.83</v>
      </c>
      <c r="J429" s="235">
        <v>1</v>
      </c>
      <c r="K429" s="237"/>
      <c r="L429" s="237">
        <f t="shared" si="66"/>
        <v>1.7235</v>
      </c>
      <c r="M429" s="111"/>
      <c r="N429" s="111"/>
      <c r="O429" s="111"/>
      <c r="P429" s="111"/>
    </row>
    <row r="430" spans="3:16" x14ac:dyDescent="0.3">
      <c r="C430" s="114"/>
      <c r="D430" s="233" t="s">
        <v>776</v>
      </c>
      <c r="E430" s="234" t="s">
        <v>0</v>
      </c>
      <c r="F430" s="235">
        <v>1</v>
      </c>
      <c r="G430" s="236">
        <f>0.25+0.2+0.2</f>
        <v>0.65</v>
      </c>
      <c r="H430" s="236"/>
      <c r="I430" s="236">
        <v>2.63</v>
      </c>
      <c r="J430" s="235">
        <v>1</v>
      </c>
      <c r="K430" s="237"/>
      <c r="L430" s="237">
        <f t="shared" si="66"/>
        <v>1.7095</v>
      </c>
      <c r="M430" s="111"/>
      <c r="N430" s="111"/>
      <c r="O430" s="111"/>
      <c r="P430" s="111"/>
    </row>
    <row r="431" spans="3:16" x14ac:dyDescent="0.3">
      <c r="C431" s="114"/>
      <c r="D431" s="233" t="s">
        <v>777</v>
      </c>
      <c r="E431" s="234" t="s">
        <v>0</v>
      </c>
      <c r="F431" s="235">
        <v>1</v>
      </c>
      <c r="G431" s="236">
        <f>0.25+0.2</f>
        <v>0.45</v>
      </c>
      <c r="H431" s="236"/>
      <c r="I431" s="236">
        <v>2.63</v>
      </c>
      <c r="J431" s="235">
        <v>1</v>
      </c>
      <c r="K431" s="237"/>
      <c r="L431" s="237">
        <f t="shared" si="66"/>
        <v>1.1835</v>
      </c>
      <c r="M431" s="111"/>
      <c r="N431" s="111"/>
      <c r="O431" s="111"/>
      <c r="P431" s="111"/>
    </row>
    <row r="432" spans="3:16" x14ac:dyDescent="0.3">
      <c r="C432" s="114"/>
      <c r="D432" s="233" t="s">
        <v>778</v>
      </c>
      <c r="E432" s="234" t="s">
        <v>0</v>
      </c>
      <c r="F432" s="235">
        <v>1</v>
      </c>
      <c r="G432" s="236">
        <f>0.2+0.15</f>
        <v>0.35</v>
      </c>
      <c r="H432" s="236"/>
      <c r="I432" s="236">
        <v>5.45</v>
      </c>
      <c r="J432" s="235">
        <v>1</v>
      </c>
      <c r="K432" s="237"/>
      <c r="L432" s="237">
        <f t="shared" si="66"/>
        <v>1.9075</v>
      </c>
      <c r="M432" s="111"/>
      <c r="N432" s="111"/>
      <c r="O432" s="111"/>
      <c r="P432" s="111"/>
    </row>
    <row r="433" spans="3:16" x14ac:dyDescent="0.3">
      <c r="C433" s="114"/>
      <c r="D433" s="233" t="s">
        <v>779</v>
      </c>
      <c r="E433" s="234" t="s">
        <v>0</v>
      </c>
      <c r="F433" s="235">
        <v>1</v>
      </c>
      <c r="G433" s="236">
        <f>0.25+0.2+0.2</f>
        <v>0.65</v>
      </c>
      <c r="H433" s="236"/>
      <c r="I433" s="236">
        <v>4.25</v>
      </c>
      <c r="J433" s="235">
        <v>1</v>
      </c>
      <c r="K433" s="237"/>
      <c r="L433" s="237">
        <f t="shared" si="66"/>
        <v>2.7625000000000002</v>
      </c>
      <c r="M433" s="111"/>
      <c r="N433" s="111"/>
      <c r="O433" s="111"/>
      <c r="P433" s="111"/>
    </row>
    <row r="434" spans="3:16" x14ac:dyDescent="0.3">
      <c r="C434" s="114"/>
      <c r="D434" s="233" t="s">
        <v>780</v>
      </c>
      <c r="E434" s="234" t="s">
        <v>0</v>
      </c>
      <c r="F434" s="235">
        <v>1</v>
      </c>
      <c r="G434" s="236">
        <f>0.1+0.2</f>
        <v>0.30000000000000004</v>
      </c>
      <c r="H434" s="236"/>
      <c r="I434" s="236">
        <v>4.25</v>
      </c>
      <c r="J434" s="235">
        <v>1</v>
      </c>
      <c r="K434" s="237"/>
      <c r="L434" s="237">
        <f t="shared" si="66"/>
        <v>1.2750000000000001</v>
      </c>
      <c r="M434" s="111"/>
      <c r="N434" s="111"/>
      <c r="O434" s="111"/>
      <c r="P434" s="111"/>
    </row>
    <row r="435" spans="3:16" x14ac:dyDescent="0.3">
      <c r="C435" s="114"/>
      <c r="D435" s="233" t="s">
        <v>781</v>
      </c>
      <c r="E435" s="234" t="s">
        <v>0</v>
      </c>
      <c r="F435" s="235">
        <v>1</v>
      </c>
      <c r="G435" s="236">
        <f>0.1+0.2+0.2</f>
        <v>0.5</v>
      </c>
      <c r="H435" s="236"/>
      <c r="I435" s="236">
        <v>2.2000000000000002</v>
      </c>
      <c r="J435" s="235">
        <v>1</v>
      </c>
      <c r="K435" s="237"/>
      <c r="L435" s="237">
        <f t="shared" si="66"/>
        <v>1.1000000000000001</v>
      </c>
      <c r="M435" s="111"/>
      <c r="N435" s="111"/>
      <c r="O435" s="111"/>
      <c r="P435" s="111"/>
    </row>
    <row r="436" spans="3:16" x14ac:dyDescent="0.3">
      <c r="C436" s="114"/>
      <c r="D436" s="233" t="s">
        <v>782</v>
      </c>
      <c r="E436" s="234" t="s">
        <v>0</v>
      </c>
      <c r="F436" s="235">
        <v>1</v>
      </c>
      <c r="G436" s="236">
        <f>0.1+0.2+0.2</f>
        <v>0.5</v>
      </c>
      <c r="H436" s="236"/>
      <c r="I436" s="236">
        <v>5.63</v>
      </c>
      <c r="J436" s="235">
        <v>1</v>
      </c>
      <c r="K436" s="237"/>
      <c r="L436" s="237">
        <f t="shared" si="66"/>
        <v>2.8149999999999999</v>
      </c>
      <c r="M436" s="111"/>
      <c r="N436" s="111"/>
      <c r="O436" s="111"/>
      <c r="P436" s="111"/>
    </row>
    <row r="437" spans="3:16" x14ac:dyDescent="0.3">
      <c r="C437" s="114"/>
      <c r="D437" s="233" t="s">
        <v>783</v>
      </c>
      <c r="E437" s="234" t="s">
        <v>0</v>
      </c>
      <c r="F437" s="235">
        <v>1</v>
      </c>
      <c r="G437" s="236">
        <f>0.25+0.2+0.2</f>
        <v>0.65</v>
      </c>
      <c r="H437" s="236"/>
      <c r="I437" s="236">
        <v>1.2</v>
      </c>
      <c r="J437" s="235">
        <v>1</v>
      </c>
      <c r="K437" s="237"/>
      <c r="L437" s="237">
        <f t="shared" si="66"/>
        <v>0.78</v>
      </c>
      <c r="M437" s="111"/>
      <c r="N437" s="111"/>
      <c r="O437" s="111"/>
      <c r="P437" s="111"/>
    </row>
    <row r="438" spans="3:16" x14ac:dyDescent="0.3">
      <c r="C438" s="114"/>
      <c r="D438" s="233"/>
      <c r="E438" s="234" t="s">
        <v>0</v>
      </c>
      <c r="F438" s="235">
        <v>1</v>
      </c>
      <c r="G438" s="236">
        <f>0.1+0.2+0.2</f>
        <v>0.5</v>
      </c>
      <c r="H438" s="236"/>
      <c r="I438" s="236">
        <v>1</v>
      </c>
      <c r="J438" s="235">
        <v>1</v>
      </c>
      <c r="K438" s="237"/>
      <c r="L438" s="237">
        <f t="shared" si="66"/>
        <v>0.5</v>
      </c>
      <c r="M438" s="111"/>
      <c r="N438" s="111"/>
      <c r="O438" s="111"/>
      <c r="P438" s="111"/>
    </row>
    <row r="439" spans="3:16" x14ac:dyDescent="0.3">
      <c r="C439" s="114"/>
      <c r="D439" s="233" t="s">
        <v>784</v>
      </c>
      <c r="E439" s="234" t="s">
        <v>0</v>
      </c>
      <c r="F439" s="235">
        <v>1</v>
      </c>
      <c r="G439" s="236">
        <f>0.1+0.2+0.2</f>
        <v>0.5</v>
      </c>
      <c r="H439" s="236"/>
      <c r="I439" s="236">
        <v>5.69</v>
      </c>
      <c r="J439" s="235">
        <v>1</v>
      </c>
      <c r="K439" s="237"/>
      <c r="L439" s="237">
        <f t="shared" si="66"/>
        <v>2.8450000000000002</v>
      </c>
      <c r="M439" s="111"/>
      <c r="N439" s="111"/>
      <c r="O439" s="111"/>
      <c r="P439" s="111"/>
    </row>
    <row r="440" spans="3:16" x14ac:dyDescent="0.3">
      <c r="C440" s="114"/>
      <c r="D440" s="233" t="s">
        <v>785</v>
      </c>
      <c r="E440" s="234" t="s">
        <v>0</v>
      </c>
      <c r="F440" s="235">
        <v>1</v>
      </c>
      <c r="G440" s="236">
        <f>0.25+0.2</f>
        <v>0.45</v>
      </c>
      <c r="H440" s="236"/>
      <c r="I440" s="236">
        <v>4.3499999999999996</v>
      </c>
      <c r="J440" s="235">
        <v>1</v>
      </c>
      <c r="K440" s="237"/>
      <c r="L440" s="237">
        <f t="shared" si="66"/>
        <v>1.9574999999999998</v>
      </c>
      <c r="M440" s="111"/>
      <c r="N440" s="111"/>
      <c r="O440" s="111"/>
      <c r="P440" s="111"/>
    </row>
    <row r="441" spans="3:16" x14ac:dyDescent="0.3">
      <c r="C441" s="114"/>
      <c r="D441" s="233" t="s">
        <v>786</v>
      </c>
      <c r="E441" s="234" t="s">
        <v>0</v>
      </c>
      <c r="F441" s="235">
        <v>1</v>
      </c>
      <c r="G441" s="236">
        <f>0.25+0.2+0.2</f>
        <v>0.65</v>
      </c>
      <c r="H441" s="236"/>
      <c r="I441" s="236">
        <v>3.84</v>
      </c>
      <c r="J441" s="235">
        <v>1</v>
      </c>
      <c r="K441" s="237"/>
      <c r="L441" s="237">
        <f t="shared" si="66"/>
        <v>2.496</v>
      </c>
      <c r="M441" s="111"/>
      <c r="N441" s="111"/>
      <c r="O441" s="111"/>
      <c r="P441" s="111"/>
    </row>
    <row r="442" spans="3:16" x14ac:dyDescent="0.3">
      <c r="C442" s="114"/>
      <c r="D442" s="233"/>
      <c r="E442" s="234" t="s">
        <v>0</v>
      </c>
      <c r="F442" s="235">
        <v>1</v>
      </c>
      <c r="G442" s="236">
        <f>0.1+0.2+0.2</f>
        <v>0.5</v>
      </c>
      <c r="H442" s="236"/>
      <c r="I442" s="236">
        <v>0.51</v>
      </c>
      <c r="J442" s="235">
        <v>1</v>
      </c>
      <c r="K442" s="237"/>
      <c r="L442" s="237">
        <f t="shared" si="66"/>
        <v>0.255</v>
      </c>
      <c r="M442" s="111"/>
      <c r="N442" s="111"/>
      <c r="O442" s="111"/>
      <c r="P442" s="111"/>
    </row>
    <row r="443" spans="3:16" x14ac:dyDescent="0.3">
      <c r="C443" s="114"/>
      <c r="D443" s="233" t="s">
        <v>787</v>
      </c>
      <c r="E443" s="234" t="s">
        <v>0</v>
      </c>
      <c r="F443" s="235">
        <v>1</v>
      </c>
      <c r="G443" s="236">
        <f>0.1+0.2</f>
        <v>0.30000000000000004</v>
      </c>
      <c r="H443" s="236"/>
      <c r="I443" s="236">
        <v>2.2999999999999998</v>
      </c>
      <c r="J443" s="235">
        <v>1</v>
      </c>
      <c r="K443" s="237"/>
      <c r="L443" s="237">
        <f t="shared" si="66"/>
        <v>0.69000000000000006</v>
      </c>
      <c r="M443" s="111"/>
      <c r="N443" s="111"/>
      <c r="O443" s="111"/>
      <c r="P443" s="111"/>
    </row>
    <row r="444" spans="3:16" x14ac:dyDescent="0.3">
      <c r="C444" s="114"/>
      <c r="D444" s="233"/>
      <c r="E444" s="234" t="s">
        <v>0</v>
      </c>
      <c r="F444" s="235">
        <v>1</v>
      </c>
      <c r="G444" s="236">
        <f>0.1+0.2</f>
        <v>0.30000000000000004</v>
      </c>
      <c r="H444" s="236"/>
      <c r="I444" s="236">
        <v>0.5</v>
      </c>
      <c r="J444" s="235">
        <v>1</v>
      </c>
      <c r="K444" s="237"/>
      <c r="L444" s="237">
        <f t="shared" si="66"/>
        <v>0.15000000000000002</v>
      </c>
      <c r="M444" s="111"/>
      <c r="N444" s="111"/>
      <c r="O444" s="111"/>
      <c r="P444" s="111"/>
    </row>
    <row r="445" spans="3:16" x14ac:dyDescent="0.3">
      <c r="C445" s="114"/>
      <c r="D445" s="233"/>
      <c r="E445" s="234" t="s">
        <v>0</v>
      </c>
      <c r="F445" s="235">
        <v>1</v>
      </c>
      <c r="G445" s="236">
        <f>0.25+0.2+0.2</f>
        <v>0.65</v>
      </c>
      <c r="H445" s="236"/>
      <c r="I445" s="236">
        <v>1.55</v>
      </c>
      <c r="J445" s="235">
        <v>1</v>
      </c>
      <c r="K445" s="237"/>
      <c r="L445" s="237">
        <f t="shared" si="66"/>
        <v>1.0075000000000001</v>
      </c>
      <c r="M445" s="111"/>
      <c r="N445" s="111"/>
      <c r="O445" s="111"/>
      <c r="P445" s="111"/>
    </row>
    <row r="446" spans="3:16" x14ac:dyDescent="0.3">
      <c r="C446" s="114"/>
      <c r="D446" s="233" t="s">
        <v>788</v>
      </c>
      <c r="E446" s="234" t="s">
        <v>0</v>
      </c>
      <c r="F446" s="235">
        <v>1</v>
      </c>
      <c r="G446" s="236">
        <f>0.25+0.2+0.2</f>
        <v>0.65</v>
      </c>
      <c r="H446" s="236"/>
      <c r="I446" s="236">
        <v>2.2000000000000002</v>
      </c>
      <c r="J446" s="235">
        <v>1</v>
      </c>
      <c r="K446" s="237"/>
      <c r="L446" s="237">
        <f t="shared" si="66"/>
        <v>1.4300000000000002</v>
      </c>
      <c r="M446" s="111"/>
      <c r="N446" s="111"/>
      <c r="O446" s="111"/>
      <c r="P446" s="111"/>
    </row>
    <row r="447" spans="3:16" x14ac:dyDescent="0.3">
      <c r="C447" s="114"/>
      <c r="D447" s="233" t="s">
        <v>789</v>
      </c>
      <c r="E447" s="234" t="s">
        <v>0</v>
      </c>
      <c r="F447" s="235">
        <v>1</v>
      </c>
      <c r="G447" s="236">
        <f>0.25+0.2+0.2</f>
        <v>0.65</v>
      </c>
      <c r="H447" s="236"/>
      <c r="I447" s="236">
        <v>5.69</v>
      </c>
      <c r="J447" s="235">
        <v>1</v>
      </c>
      <c r="K447" s="237"/>
      <c r="L447" s="237">
        <f t="shared" si="66"/>
        <v>3.6985000000000006</v>
      </c>
      <c r="M447" s="111"/>
      <c r="N447" s="111"/>
      <c r="O447" s="111"/>
      <c r="P447" s="111"/>
    </row>
    <row r="448" spans="3:16" x14ac:dyDescent="0.3">
      <c r="C448" s="114"/>
      <c r="D448" s="233" t="s">
        <v>790</v>
      </c>
      <c r="E448" s="234" t="s">
        <v>0</v>
      </c>
      <c r="F448" s="235">
        <v>1</v>
      </c>
      <c r="G448" s="236">
        <f>0.25+0.2</f>
        <v>0.45</v>
      </c>
      <c r="H448" s="236"/>
      <c r="I448" s="236">
        <v>3.81</v>
      </c>
      <c r="J448" s="235">
        <v>1</v>
      </c>
      <c r="K448" s="237"/>
      <c r="L448" s="237">
        <f t="shared" si="66"/>
        <v>1.7145000000000001</v>
      </c>
      <c r="M448" s="111"/>
      <c r="N448" s="111"/>
      <c r="O448" s="111"/>
      <c r="P448" s="111"/>
    </row>
    <row r="449" spans="3:16" x14ac:dyDescent="0.3">
      <c r="C449" s="114"/>
      <c r="D449" s="233" t="s">
        <v>791</v>
      </c>
      <c r="E449" s="234" t="s">
        <v>0</v>
      </c>
      <c r="F449" s="235">
        <v>1</v>
      </c>
      <c r="G449" s="236">
        <f>0.25+0.2+0.2</f>
        <v>0.65</v>
      </c>
      <c r="H449" s="236"/>
      <c r="I449" s="236">
        <v>3.81</v>
      </c>
      <c r="J449" s="235">
        <v>1</v>
      </c>
      <c r="K449" s="237"/>
      <c r="L449" s="237">
        <f t="shared" si="66"/>
        <v>2.4765000000000001</v>
      </c>
      <c r="M449" s="111"/>
      <c r="N449" s="111"/>
      <c r="O449" s="111"/>
      <c r="P449" s="111"/>
    </row>
    <row r="450" spans="3:16" x14ac:dyDescent="0.3">
      <c r="C450" s="114"/>
      <c r="D450" s="233" t="s">
        <v>792</v>
      </c>
      <c r="E450" s="234" t="s">
        <v>0</v>
      </c>
      <c r="F450" s="235">
        <v>1</v>
      </c>
      <c r="G450" s="236">
        <f>0.1+0.2</f>
        <v>0.30000000000000004</v>
      </c>
      <c r="H450" s="236"/>
      <c r="I450" s="236">
        <v>2.2999999999999998</v>
      </c>
      <c r="J450" s="235">
        <v>1</v>
      </c>
      <c r="K450" s="237"/>
      <c r="L450" s="237">
        <f t="shared" si="66"/>
        <v>0.69000000000000006</v>
      </c>
      <c r="M450" s="111"/>
      <c r="N450" s="111"/>
      <c r="O450" s="111"/>
      <c r="P450" s="111"/>
    </row>
    <row r="451" spans="3:16" x14ac:dyDescent="0.3">
      <c r="C451" s="114"/>
      <c r="D451" s="233"/>
      <c r="E451" s="234" t="s">
        <v>0</v>
      </c>
      <c r="F451" s="235">
        <v>1</v>
      </c>
      <c r="G451" s="236">
        <f>0.1+0.2</f>
        <v>0.30000000000000004</v>
      </c>
      <c r="H451" s="236"/>
      <c r="I451" s="236">
        <v>1.5</v>
      </c>
      <c r="J451" s="235">
        <v>1</v>
      </c>
      <c r="K451" s="237"/>
      <c r="L451" s="237">
        <f t="shared" si="66"/>
        <v>0.45000000000000007</v>
      </c>
      <c r="M451" s="111"/>
      <c r="N451" s="111"/>
      <c r="O451" s="111"/>
      <c r="P451" s="111"/>
    </row>
    <row r="452" spans="3:16" x14ac:dyDescent="0.3">
      <c r="C452" s="114"/>
      <c r="D452" s="233" t="s">
        <v>793</v>
      </c>
      <c r="E452" s="234" t="s">
        <v>0</v>
      </c>
      <c r="F452" s="235">
        <v>1</v>
      </c>
      <c r="G452" s="236">
        <f>0.25+0.2+0.2</f>
        <v>0.65</v>
      </c>
      <c r="H452" s="236"/>
      <c r="I452" s="236">
        <v>2.1</v>
      </c>
      <c r="J452" s="235">
        <v>1</v>
      </c>
      <c r="K452" s="237"/>
      <c r="L452" s="237">
        <f t="shared" si="66"/>
        <v>1.3650000000000002</v>
      </c>
      <c r="M452" s="111"/>
      <c r="N452" s="111"/>
      <c r="O452" s="111"/>
      <c r="P452" s="111"/>
    </row>
    <row r="453" spans="3:16" x14ac:dyDescent="0.3">
      <c r="C453" s="114"/>
      <c r="D453" s="233" t="s">
        <v>794</v>
      </c>
      <c r="E453" s="234" t="s">
        <v>0</v>
      </c>
      <c r="F453" s="235">
        <v>1</v>
      </c>
      <c r="G453" s="236">
        <f>0.25+0.2+0.2</f>
        <v>0.65</v>
      </c>
      <c r="H453" s="236"/>
      <c r="I453" s="236">
        <v>5.69</v>
      </c>
      <c r="J453" s="235">
        <v>1</v>
      </c>
      <c r="K453" s="237"/>
      <c r="L453" s="237">
        <f t="shared" si="66"/>
        <v>3.6985000000000006</v>
      </c>
      <c r="M453" s="111"/>
      <c r="N453" s="111"/>
      <c r="O453" s="111"/>
      <c r="P453" s="111"/>
    </row>
    <row r="454" spans="3:16" x14ac:dyDescent="0.3">
      <c r="C454" s="114"/>
      <c r="D454" s="233" t="s">
        <v>795</v>
      </c>
      <c r="E454" s="234" t="s">
        <v>0</v>
      </c>
      <c r="F454" s="235">
        <v>1</v>
      </c>
      <c r="G454" s="236">
        <f>0.25+0.2</f>
        <v>0.45</v>
      </c>
      <c r="H454" s="236"/>
      <c r="I454" s="236">
        <v>4.34</v>
      </c>
      <c r="J454" s="235">
        <v>1</v>
      </c>
      <c r="K454" s="237"/>
      <c r="L454" s="237">
        <f t="shared" si="66"/>
        <v>1.9530000000000001</v>
      </c>
      <c r="M454" s="111"/>
      <c r="N454" s="111"/>
      <c r="O454" s="111"/>
      <c r="P454" s="111"/>
    </row>
    <row r="455" spans="3:16" x14ac:dyDescent="0.3">
      <c r="C455" s="114"/>
      <c r="D455" s="233" t="s">
        <v>796</v>
      </c>
      <c r="E455" s="234" t="s">
        <v>0</v>
      </c>
      <c r="F455" s="235">
        <v>1</v>
      </c>
      <c r="G455" s="236">
        <f>0.1+0.2+0.2</f>
        <v>0.5</v>
      </c>
      <c r="H455" s="236"/>
      <c r="I455" s="236">
        <v>1.47</v>
      </c>
      <c r="J455" s="235">
        <v>1</v>
      </c>
      <c r="K455" s="237"/>
      <c r="L455" s="237">
        <f t="shared" si="66"/>
        <v>0.73499999999999999</v>
      </c>
      <c r="M455" s="111"/>
      <c r="N455" s="111"/>
      <c r="O455" s="111"/>
      <c r="P455" s="111"/>
    </row>
    <row r="456" spans="3:16" x14ac:dyDescent="0.3">
      <c r="C456" s="114"/>
      <c r="D456" s="233"/>
      <c r="E456" s="234" t="s">
        <v>0</v>
      </c>
      <c r="F456" s="235">
        <v>1</v>
      </c>
      <c r="G456" s="236">
        <f>0.25+0.2+0.2</f>
        <v>0.65</v>
      </c>
      <c r="H456" s="236"/>
      <c r="I456" s="236">
        <v>2.87</v>
      </c>
      <c r="J456" s="235">
        <v>1</v>
      </c>
      <c r="K456" s="237"/>
      <c r="L456" s="237">
        <f t="shared" si="66"/>
        <v>1.8655000000000002</v>
      </c>
      <c r="M456" s="111"/>
      <c r="N456" s="111"/>
      <c r="O456" s="111"/>
      <c r="P456" s="111"/>
    </row>
    <row r="457" spans="3:16" x14ac:dyDescent="0.3">
      <c r="C457" s="114"/>
      <c r="D457" s="233" t="s">
        <v>797</v>
      </c>
      <c r="E457" s="234" t="s">
        <v>0</v>
      </c>
      <c r="F457" s="235">
        <v>1</v>
      </c>
      <c r="G457" s="236">
        <f>0.1+0.2</f>
        <v>0.30000000000000004</v>
      </c>
      <c r="H457" s="236"/>
      <c r="I457" s="236">
        <v>1.47</v>
      </c>
      <c r="J457" s="235">
        <v>1</v>
      </c>
      <c r="K457" s="237"/>
      <c r="L457" s="237">
        <f t="shared" si="66"/>
        <v>0.44100000000000006</v>
      </c>
      <c r="M457" s="111"/>
      <c r="N457" s="111"/>
      <c r="O457" s="111"/>
      <c r="P457" s="111"/>
    </row>
    <row r="458" spans="3:16" x14ac:dyDescent="0.3">
      <c r="C458" s="114"/>
      <c r="D458" s="280"/>
      <c r="E458" s="234" t="s">
        <v>0</v>
      </c>
      <c r="F458" s="235">
        <v>1</v>
      </c>
      <c r="G458" s="236">
        <f>0.1+0.2</f>
        <v>0.30000000000000004</v>
      </c>
      <c r="H458" s="236"/>
      <c r="I458" s="236">
        <v>1.33</v>
      </c>
      <c r="J458" s="235">
        <v>1</v>
      </c>
      <c r="K458" s="237"/>
      <c r="L458" s="237">
        <f t="shared" si="66"/>
        <v>0.39900000000000008</v>
      </c>
      <c r="M458" s="111"/>
      <c r="N458" s="111"/>
      <c r="O458" s="111"/>
      <c r="P458" s="111"/>
    </row>
    <row r="459" spans="3:16" x14ac:dyDescent="0.3">
      <c r="C459" s="114"/>
      <c r="D459" s="280"/>
      <c r="E459" s="234" t="s">
        <v>0</v>
      </c>
      <c r="F459" s="235">
        <v>1</v>
      </c>
      <c r="G459" s="236">
        <f>0.25+0.2</f>
        <v>0.45</v>
      </c>
      <c r="H459" s="236"/>
      <c r="I459" s="236">
        <v>1.56</v>
      </c>
      <c r="J459" s="235">
        <v>1</v>
      </c>
      <c r="K459" s="237"/>
      <c r="L459" s="237">
        <f t="shared" si="66"/>
        <v>0.70200000000000007</v>
      </c>
      <c r="M459" s="111"/>
      <c r="N459" s="111"/>
      <c r="O459" s="111"/>
      <c r="P459" s="111"/>
    </row>
    <row r="460" spans="3:16" x14ac:dyDescent="0.3">
      <c r="C460" s="114"/>
      <c r="D460" s="233" t="s">
        <v>798</v>
      </c>
      <c r="E460" s="234" t="s">
        <v>0</v>
      </c>
      <c r="F460" s="235">
        <v>1</v>
      </c>
      <c r="G460" s="236">
        <f>0.25+0.2+0.2</f>
        <v>0.65</v>
      </c>
      <c r="H460" s="236"/>
      <c r="I460" s="236">
        <v>2.1</v>
      </c>
      <c r="J460" s="235">
        <v>1</v>
      </c>
      <c r="K460" s="237"/>
      <c r="L460" s="237">
        <f t="shared" si="66"/>
        <v>1.3650000000000002</v>
      </c>
      <c r="M460" s="111"/>
      <c r="N460" s="111"/>
      <c r="O460" s="111"/>
      <c r="P460" s="111"/>
    </row>
    <row r="461" spans="3:16" x14ac:dyDescent="0.3">
      <c r="C461" s="114"/>
      <c r="D461" s="233" t="s">
        <v>799</v>
      </c>
      <c r="E461" s="234" t="s">
        <v>0</v>
      </c>
      <c r="F461" s="235">
        <v>1</v>
      </c>
      <c r="G461" s="236">
        <f>0.25+0.2+0.2</f>
        <v>0.65</v>
      </c>
      <c r="H461" s="236"/>
      <c r="I461" s="236">
        <v>1.2</v>
      </c>
      <c r="J461" s="235">
        <v>1</v>
      </c>
      <c r="K461" s="237"/>
      <c r="L461" s="237">
        <f t="shared" si="66"/>
        <v>0.78</v>
      </c>
      <c r="M461" s="111"/>
      <c r="N461" s="111"/>
      <c r="O461" s="111"/>
      <c r="P461" s="111"/>
    </row>
    <row r="462" spans="3:16" x14ac:dyDescent="0.3">
      <c r="C462" s="114"/>
      <c r="D462" s="233"/>
      <c r="E462" s="234" t="s">
        <v>0</v>
      </c>
      <c r="F462" s="235">
        <v>1</v>
      </c>
      <c r="G462" s="236">
        <f>0.1+0.2+0.2</f>
        <v>0.5</v>
      </c>
      <c r="H462" s="236"/>
      <c r="I462" s="236">
        <v>4.49</v>
      </c>
      <c r="J462" s="235">
        <v>1</v>
      </c>
      <c r="K462" s="237"/>
      <c r="L462" s="237">
        <f t="shared" si="66"/>
        <v>2.2450000000000001</v>
      </c>
      <c r="M462" s="111"/>
      <c r="N462" s="111"/>
      <c r="O462" s="111"/>
      <c r="P462" s="111"/>
    </row>
    <row r="463" spans="3:16" x14ac:dyDescent="0.3">
      <c r="C463" s="114"/>
      <c r="D463" s="233" t="s">
        <v>800</v>
      </c>
      <c r="E463" s="234" t="s">
        <v>0</v>
      </c>
      <c r="F463" s="235">
        <v>1</v>
      </c>
      <c r="G463" s="236">
        <f>0.25+0.2</f>
        <v>0.45</v>
      </c>
      <c r="H463" s="236"/>
      <c r="I463" s="236">
        <v>3.78</v>
      </c>
      <c r="J463" s="235">
        <v>1</v>
      </c>
      <c r="K463" s="237"/>
      <c r="L463" s="237">
        <f t="shared" si="66"/>
        <v>1.7009999999999998</v>
      </c>
      <c r="M463" s="111"/>
      <c r="N463" s="111"/>
      <c r="O463" s="111"/>
      <c r="P463" s="111"/>
    </row>
    <row r="464" spans="3:16" x14ac:dyDescent="0.3">
      <c r="C464" s="114"/>
      <c r="D464" s="233" t="s">
        <v>801</v>
      </c>
      <c r="E464" s="234" t="s">
        <v>0</v>
      </c>
      <c r="F464" s="235">
        <v>1</v>
      </c>
      <c r="G464" s="236">
        <f>0.25+0.2+0.2</f>
        <v>0.65</v>
      </c>
      <c r="H464" s="236"/>
      <c r="I464" s="236">
        <f>1.5+2.28</f>
        <v>3.78</v>
      </c>
      <c r="J464" s="235">
        <v>1</v>
      </c>
      <c r="K464" s="237"/>
      <c r="L464" s="237">
        <f t="shared" si="66"/>
        <v>2.4569999999999999</v>
      </c>
      <c r="M464" s="111"/>
      <c r="N464" s="111"/>
      <c r="O464" s="111"/>
      <c r="P464" s="111"/>
    </row>
    <row r="465" spans="3:16" x14ac:dyDescent="0.3">
      <c r="C465" s="114"/>
      <c r="D465" s="233" t="s">
        <v>802</v>
      </c>
      <c r="E465" s="234" t="s">
        <v>0</v>
      </c>
      <c r="F465" s="235">
        <v>1</v>
      </c>
      <c r="G465" s="236">
        <f>0.1+0.2</f>
        <v>0.30000000000000004</v>
      </c>
      <c r="H465" s="236"/>
      <c r="I465" s="236">
        <v>2.2799999999999998</v>
      </c>
      <c r="J465" s="235">
        <v>1</v>
      </c>
      <c r="K465" s="237"/>
      <c r="L465" s="237">
        <f t="shared" si="66"/>
        <v>0.68400000000000005</v>
      </c>
      <c r="M465" s="111"/>
      <c r="N465" s="111"/>
      <c r="O465" s="111"/>
      <c r="P465" s="111"/>
    </row>
    <row r="466" spans="3:16" x14ac:dyDescent="0.3">
      <c r="C466" s="114"/>
      <c r="D466" s="280"/>
      <c r="E466" s="234" t="s">
        <v>0</v>
      </c>
      <c r="F466" s="235">
        <v>1</v>
      </c>
      <c r="G466" s="236">
        <f>0.25+0.2</f>
        <v>0.45</v>
      </c>
      <c r="H466" s="236"/>
      <c r="I466" s="236">
        <v>1.5</v>
      </c>
      <c r="J466" s="235">
        <v>1</v>
      </c>
      <c r="K466" s="237"/>
      <c r="L466" s="237">
        <f t="shared" si="66"/>
        <v>0.67500000000000004</v>
      </c>
      <c r="M466" s="111"/>
      <c r="N466" s="111"/>
      <c r="O466" s="111"/>
      <c r="P466" s="111"/>
    </row>
    <row r="467" spans="3:16" x14ac:dyDescent="0.3">
      <c r="C467" s="114"/>
      <c r="D467" s="233" t="s">
        <v>803</v>
      </c>
      <c r="E467" s="234" t="s">
        <v>0</v>
      </c>
      <c r="F467" s="235">
        <v>1</v>
      </c>
      <c r="G467" s="236">
        <f>0.25+0.2+0.2</f>
        <v>0.65</v>
      </c>
      <c r="H467" s="236"/>
      <c r="I467" s="236">
        <v>2.2000000000000002</v>
      </c>
      <c r="J467" s="235">
        <v>1</v>
      </c>
      <c r="K467" s="237"/>
      <c r="L467" s="237">
        <f t="shared" si="66"/>
        <v>1.4300000000000002</v>
      </c>
      <c r="M467" s="111"/>
      <c r="N467" s="111"/>
      <c r="O467" s="111"/>
      <c r="P467" s="111"/>
    </row>
    <row r="468" spans="3:16" x14ac:dyDescent="0.3">
      <c r="C468" s="114"/>
      <c r="D468" s="233" t="s">
        <v>804</v>
      </c>
      <c r="E468" s="234" t="s">
        <v>0</v>
      </c>
      <c r="F468" s="235">
        <v>1</v>
      </c>
      <c r="G468" s="236">
        <f>0.25+0.2+0.2</f>
        <v>0.65</v>
      </c>
      <c r="H468" s="236"/>
      <c r="I468" s="236">
        <v>5.69</v>
      </c>
      <c r="J468" s="235">
        <v>1</v>
      </c>
      <c r="K468" s="237"/>
      <c r="L468" s="237">
        <f t="shared" si="66"/>
        <v>3.6985000000000006</v>
      </c>
      <c r="M468" s="111"/>
      <c r="N468" s="111"/>
      <c r="O468" s="111"/>
      <c r="P468" s="111"/>
    </row>
    <row r="469" spans="3:16" x14ac:dyDescent="0.3">
      <c r="C469" s="114"/>
      <c r="D469" s="233" t="s">
        <v>805</v>
      </c>
      <c r="E469" s="234" t="s">
        <v>0</v>
      </c>
      <c r="F469" s="235">
        <v>1</v>
      </c>
      <c r="G469" s="236">
        <f>0.25+0.2</f>
        <v>0.45</v>
      </c>
      <c r="H469" s="236"/>
      <c r="I469" s="236">
        <v>4.3600000000000003</v>
      </c>
      <c r="J469" s="235">
        <v>1</v>
      </c>
      <c r="K469" s="237"/>
      <c r="L469" s="237">
        <f t="shared" si="66"/>
        <v>1.9620000000000002</v>
      </c>
      <c r="M469" s="111"/>
      <c r="N469" s="111"/>
      <c r="O469" s="111"/>
      <c r="P469" s="111"/>
    </row>
    <row r="470" spans="3:16" x14ac:dyDescent="0.3">
      <c r="C470" s="114"/>
      <c r="D470" s="233" t="s">
        <v>806</v>
      </c>
      <c r="E470" s="234" t="s">
        <v>0</v>
      </c>
      <c r="F470" s="235">
        <v>1</v>
      </c>
      <c r="G470" s="236">
        <f>0.25+0.2+0.2</f>
        <v>0.65</v>
      </c>
      <c r="H470" s="236"/>
      <c r="I470" s="236">
        <f>1.63+1.53</f>
        <v>3.16</v>
      </c>
      <c r="J470" s="235">
        <v>1</v>
      </c>
      <c r="K470" s="237"/>
      <c r="L470" s="237">
        <f t="shared" si="66"/>
        <v>2.0540000000000003</v>
      </c>
      <c r="M470" s="111"/>
      <c r="N470" s="111"/>
      <c r="O470" s="111"/>
      <c r="P470" s="111"/>
    </row>
    <row r="471" spans="3:16" x14ac:dyDescent="0.3">
      <c r="C471" s="114"/>
      <c r="D471" s="233" t="s">
        <v>807</v>
      </c>
      <c r="E471" s="234" t="s">
        <v>0</v>
      </c>
      <c r="F471" s="235">
        <v>1</v>
      </c>
      <c r="G471" s="236">
        <f>0.1+0.2</f>
        <v>0.30000000000000004</v>
      </c>
      <c r="H471" s="236"/>
      <c r="I471" s="236">
        <v>1.63</v>
      </c>
      <c r="J471" s="235">
        <v>1</v>
      </c>
      <c r="K471" s="237"/>
      <c r="L471" s="237">
        <f t="shared" si="66"/>
        <v>0.48900000000000005</v>
      </c>
      <c r="M471" s="111"/>
      <c r="N471" s="111"/>
      <c r="O471" s="111"/>
      <c r="P471" s="111"/>
    </row>
    <row r="472" spans="3:16" x14ac:dyDescent="0.3">
      <c r="C472" s="114"/>
      <c r="D472" s="280"/>
      <c r="E472" s="234" t="s">
        <v>0</v>
      </c>
      <c r="F472" s="235">
        <v>1</v>
      </c>
      <c r="G472" s="236">
        <f>0.25+0.2</f>
        <v>0.45</v>
      </c>
      <c r="H472" s="236"/>
      <c r="I472" s="236">
        <v>1.53</v>
      </c>
      <c r="J472" s="235">
        <v>1</v>
      </c>
      <c r="K472" s="237"/>
      <c r="L472" s="237">
        <f t="shared" si="66"/>
        <v>0.6885</v>
      </c>
      <c r="M472" s="111"/>
      <c r="N472" s="111"/>
      <c r="O472" s="111"/>
      <c r="P472" s="111"/>
    </row>
    <row r="473" spans="3:16" x14ac:dyDescent="0.3">
      <c r="C473" s="114"/>
      <c r="D473" s="233" t="s">
        <v>808</v>
      </c>
      <c r="E473" s="234" t="s">
        <v>0</v>
      </c>
      <c r="F473" s="235">
        <v>1</v>
      </c>
      <c r="G473" s="236">
        <f>0.25+0.2+0.2</f>
        <v>0.65</v>
      </c>
      <c r="H473" s="236"/>
      <c r="I473" s="236">
        <v>2.2000000000000002</v>
      </c>
      <c r="J473" s="235">
        <v>1</v>
      </c>
      <c r="K473" s="237"/>
      <c r="L473" s="237">
        <f t="shared" si="66"/>
        <v>1.4300000000000002</v>
      </c>
      <c r="M473" s="111"/>
      <c r="N473" s="111"/>
      <c r="O473" s="111"/>
      <c r="P473" s="111"/>
    </row>
    <row r="474" spans="3:16" x14ac:dyDescent="0.3">
      <c r="C474" s="106"/>
      <c r="D474" s="233" t="s">
        <v>809</v>
      </c>
      <c r="E474" s="234" t="s">
        <v>0</v>
      </c>
      <c r="F474" s="235">
        <v>1</v>
      </c>
      <c r="G474" s="236">
        <f>0.25+0.2+0.2</f>
        <v>0.65</v>
      </c>
      <c r="H474" s="236"/>
      <c r="I474" s="236">
        <v>5.69</v>
      </c>
      <c r="J474" s="235">
        <v>1</v>
      </c>
      <c r="K474" s="237"/>
      <c r="L474" s="237">
        <f t="shared" si="66"/>
        <v>3.6985000000000006</v>
      </c>
      <c r="M474" s="113"/>
      <c r="N474" s="113"/>
      <c r="O474" s="113"/>
      <c r="P474" s="113"/>
    </row>
    <row r="475" spans="3:16" x14ac:dyDescent="0.3">
      <c r="C475" s="114"/>
      <c r="D475" s="233" t="s">
        <v>805</v>
      </c>
      <c r="E475" s="234" t="s">
        <v>0</v>
      </c>
      <c r="F475" s="235">
        <v>1</v>
      </c>
      <c r="G475" s="236">
        <f>0.25+0.2</f>
        <v>0.45</v>
      </c>
      <c r="H475" s="236"/>
      <c r="I475" s="236">
        <v>3.81</v>
      </c>
      <c r="J475" s="235">
        <v>1</v>
      </c>
      <c r="K475" s="237"/>
      <c r="L475" s="237">
        <f t="shared" si="66"/>
        <v>1.7145000000000001</v>
      </c>
      <c r="M475" s="111"/>
      <c r="N475" s="111"/>
      <c r="O475" s="111"/>
      <c r="P475" s="111"/>
    </row>
    <row r="476" spans="3:16" x14ac:dyDescent="0.3">
      <c r="C476" s="114"/>
      <c r="D476" s="233" t="s">
        <v>806</v>
      </c>
      <c r="E476" s="234" t="s">
        <v>0</v>
      </c>
      <c r="F476" s="235">
        <v>1</v>
      </c>
      <c r="G476" s="236">
        <f>0.25+0.2+0.2</f>
        <v>0.65</v>
      </c>
      <c r="H476" s="236"/>
      <c r="I476" s="236">
        <f>2.3+1.5</f>
        <v>3.8</v>
      </c>
      <c r="J476" s="235">
        <v>1</v>
      </c>
      <c r="K476" s="237"/>
      <c r="L476" s="237">
        <f t="shared" si="66"/>
        <v>2.4699999999999998</v>
      </c>
      <c r="M476" s="111"/>
      <c r="N476" s="111"/>
      <c r="O476" s="111"/>
      <c r="P476" s="111"/>
    </row>
    <row r="477" spans="3:16" x14ac:dyDescent="0.3">
      <c r="C477" s="114"/>
      <c r="D477" s="233" t="s">
        <v>807</v>
      </c>
      <c r="E477" s="234" t="s">
        <v>0</v>
      </c>
      <c r="F477" s="235">
        <v>1</v>
      </c>
      <c r="G477" s="236">
        <f>0.1+0.2</f>
        <v>0.30000000000000004</v>
      </c>
      <c r="H477" s="236"/>
      <c r="I477" s="236">
        <v>2.2999999999999998</v>
      </c>
      <c r="J477" s="235">
        <v>1</v>
      </c>
      <c r="K477" s="237"/>
      <c r="L477" s="237">
        <f t="shared" si="66"/>
        <v>0.69000000000000006</v>
      </c>
      <c r="M477" s="111"/>
      <c r="N477" s="111"/>
      <c r="O477" s="111"/>
      <c r="P477" s="111"/>
    </row>
    <row r="478" spans="3:16" x14ac:dyDescent="0.3">
      <c r="C478" s="114"/>
      <c r="D478" s="280"/>
      <c r="E478" s="234" t="s">
        <v>0</v>
      </c>
      <c r="F478" s="235">
        <v>1</v>
      </c>
      <c r="G478" s="236">
        <f>0.25+0.2</f>
        <v>0.45</v>
      </c>
      <c r="H478" s="236"/>
      <c r="I478" s="236">
        <v>1.5</v>
      </c>
      <c r="J478" s="235">
        <v>1</v>
      </c>
      <c r="K478" s="237"/>
      <c r="L478" s="237">
        <f t="shared" si="66"/>
        <v>0.67500000000000004</v>
      </c>
      <c r="M478" s="111"/>
      <c r="N478" s="111"/>
      <c r="O478" s="111"/>
      <c r="P478" s="111"/>
    </row>
    <row r="479" spans="3:16" x14ac:dyDescent="0.3">
      <c r="C479" s="114"/>
      <c r="D479" s="233" t="s">
        <v>810</v>
      </c>
      <c r="E479" s="234" t="s">
        <v>0</v>
      </c>
      <c r="F479" s="235">
        <v>1</v>
      </c>
      <c r="G479" s="236">
        <f>0.25+0.2+0.2</f>
        <v>0.65</v>
      </c>
      <c r="H479" s="236"/>
      <c r="I479" s="236">
        <v>2.2000000000000002</v>
      </c>
      <c r="J479" s="235">
        <v>1</v>
      </c>
      <c r="K479" s="237"/>
      <c r="L479" s="237">
        <f t="shared" si="66"/>
        <v>1.4300000000000002</v>
      </c>
      <c r="M479" s="111"/>
      <c r="N479" s="111"/>
      <c r="O479" s="111"/>
      <c r="P479" s="111"/>
    </row>
    <row r="480" spans="3:16" x14ac:dyDescent="0.3">
      <c r="C480" s="114"/>
      <c r="D480" s="233" t="s">
        <v>811</v>
      </c>
      <c r="E480" s="234" t="s">
        <v>0</v>
      </c>
      <c r="F480" s="235">
        <v>1</v>
      </c>
      <c r="G480" s="236">
        <f>0.1+0.2+0.2</f>
        <v>0.5</v>
      </c>
      <c r="H480" s="236"/>
      <c r="I480" s="236">
        <v>5.69</v>
      </c>
      <c r="J480" s="235">
        <v>1</v>
      </c>
      <c r="K480" s="237"/>
      <c r="L480" s="237">
        <f t="shared" si="66"/>
        <v>2.8450000000000002</v>
      </c>
      <c r="M480" s="111"/>
      <c r="N480" s="111"/>
      <c r="O480" s="111"/>
      <c r="P480" s="111"/>
    </row>
    <row r="481" spans="3:16" x14ac:dyDescent="0.3">
      <c r="C481" s="114"/>
      <c r="D481" s="233" t="s">
        <v>812</v>
      </c>
      <c r="E481" s="234" t="s">
        <v>0</v>
      </c>
      <c r="F481" s="235">
        <v>1</v>
      </c>
      <c r="G481" s="236">
        <f>0.25+0.2</f>
        <v>0.45</v>
      </c>
      <c r="H481" s="236"/>
      <c r="I481" s="236">
        <v>3.7</v>
      </c>
      <c r="J481" s="235">
        <v>1</v>
      </c>
      <c r="K481" s="237"/>
      <c r="L481" s="237">
        <f t="shared" si="66"/>
        <v>1.665</v>
      </c>
      <c r="M481" s="111"/>
      <c r="N481" s="111"/>
      <c r="O481" s="111"/>
      <c r="P481" s="111"/>
    </row>
    <row r="482" spans="3:16" x14ac:dyDescent="0.3">
      <c r="C482" s="114"/>
      <c r="D482" s="233" t="s">
        <v>813</v>
      </c>
      <c r="E482" s="234" t="s">
        <v>0</v>
      </c>
      <c r="F482" s="235">
        <v>1</v>
      </c>
      <c r="G482" s="236">
        <f>0.25+0.2+0.2</f>
        <v>0.65</v>
      </c>
      <c r="H482" s="236"/>
      <c r="I482" s="236">
        <v>2.5</v>
      </c>
      <c r="J482" s="235">
        <v>1</v>
      </c>
      <c r="K482" s="237"/>
      <c r="L482" s="237">
        <f t="shared" si="66"/>
        <v>1.625</v>
      </c>
      <c r="M482" s="111"/>
      <c r="N482" s="111"/>
      <c r="O482" s="111"/>
      <c r="P482" s="111"/>
    </row>
    <row r="483" spans="3:16" x14ac:dyDescent="0.3">
      <c r="C483" s="114"/>
      <c r="D483" s="233" t="s">
        <v>814</v>
      </c>
      <c r="E483" s="234" t="s">
        <v>0</v>
      </c>
      <c r="F483" s="235">
        <v>1</v>
      </c>
      <c r="G483" s="236">
        <f>0.1+0.2</f>
        <v>0.30000000000000004</v>
      </c>
      <c r="H483" s="236"/>
      <c r="I483" s="236">
        <v>2.5</v>
      </c>
      <c r="J483" s="235">
        <v>1</v>
      </c>
      <c r="K483" s="237"/>
      <c r="L483" s="237">
        <f t="shared" si="66"/>
        <v>0.75000000000000011</v>
      </c>
      <c r="M483" s="111"/>
      <c r="N483" s="111"/>
      <c r="O483" s="111"/>
      <c r="P483" s="111"/>
    </row>
    <row r="484" spans="3:16" x14ac:dyDescent="0.3">
      <c r="C484" s="114"/>
      <c r="D484" s="233" t="s">
        <v>815</v>
      </c>
      <c r="E484" s="234" t="s">
        <v>0</v>
      </c>
      <c r="F484" s="235">
        <v>1</v>
      </c>
      <c r="G484" s="236">
        <f>0.25+0.2</f>
        <v>0.45</v>
      </c>
      <c r="H484" s="236"/>
      <c r="I484" s="236">
        <v>2.2000000000000002</v>
      </c>
      <c r="J484" s="235">
        <v>1</v>
      </c>
      <c r="K484" s="237"/>
      <c r="L484" s="237">
        <f t="shared" si="66"/>
        <v>0.9900000000000001</v>
      </c>
      <c r="M484" s="111"/>
      <c r="N484" s="111"/>
      <c r="O484" s="111"/>
      <c r="P484" s="111"/>
    </row>
    <row r="485" spans="3:16" x14ac:dyDescent="0.3">
      <c r="C485" s="114"/>
      <c r="D485" s="233" t="s">
        <v>816</v>
      </c>
      <c r="E485" s="234" t="s">
        <v>0</v>
      </c>
      <c r="F485" s="235">
        <v>1</v>
      </c>
      <c r="G485" s="236">
        <f>0.2</f>
        <v>0.2</v>
      </c>
      <c r="H485" s="236"/>
      <c r="I485" s="236">
        <v>1.66</v>
      </c>
      <c r="J485" s="235">
        <v>1</v>
      </c>
      <c r="K485" s="237"/>
      <c r="L485" s="237">
        <f t="shared" si="66"/>
        <v>0.33200000000000002</v>
      </c>
      <c r="M485" s="111"/>
      <c r="N485" s="111"/>
      <c r="O485" s="111"/>
      <c r="P485" s="111"/>
    </row>
    <row r="486" spans="3:16" x14ac:dyDescent="0.3">
      <c r="C486" s="114"/>
      <c r="D486" s="233" t="s">
        <v>817</v>
      </c>
      <c r="E486" s="234" t="s">
        <v>0</v>
      </c>
      <c r="F486" s="235">
        <v>1</v>
      </c>
      <c r="G486" s="236">
        <v>0.2</v>
      </c>
      <c r="H486" s="236"/>
      <c r="I486" s="236">
        <v>1.63</v>
      </c>
      <c r="J486" s="235">
        <v>1</v>
      </c>
      <c r="K486" s="237"/>
      <c r="L486" s="237">
        <f t="shared" si="66"/>
        <v>0.32600000000000001</v>
      </c>
      <c r="M486" s="111"/>
      <c r="N486" s="111"/>
      <c r="O486" s="111"/>
      <c r="P486" s="111"/>
    </row>
    <row r="487" spans="3:16" x14ac:dyDescent="0.3">
      <c r="C487" s="114"/>
      <c r="D487" s="115" t="s">
        <v>773</v>
      </c>
      <c r="E487" s="121"/>
      <c r="F487" s="3"/>
      <c r="G487" s="122" t="s">
        <v>198</v>
      </c>
      <c r="H487" s="122"/>
      <c r="I487" s="122"/>
      <c r="J487" s="3"/>
      <c r="K487" s="113"/>
      <c r="L487" s="113"/>
      <c r="M487" s="111"/>
      <c r="N487" s="111"/>
      <c r="O487" s="111"/>
      <c r="P487" s="111"/>
    </row>
    <row r="488" spans="3:16" x14ac:dyDescent="0.3">
      <c r="C488" s="114"/>
      <c r="D488" s="233" t="s">
        <v>774</v>
      </c>
      <c r="E488" s="234" t="s">
        <v>0</v>
      </c>
      <c r="F488" s="235">
        <v>1</v>
      </c>
      <c r="G488" s="236">
        <f>0.1+0.4</f>
        <v>0.5</v>
      </c>
      <c r="H488" s="236"/>
      <c r="I488" s="236">
        <v>3.29</v>
      </c>
      <c r="J488" s="235">
        <v>1</v>
      </c>
      <c r="K488" s="237"/>
      <c r="L488" s="237">
        <f t="shared" ref="L488:L547" si="67">IF(F488="","",PRODUCT(F488:J488))</f>
        <v>1.645</v>
      </c>
      <c r="M488" s="111"/>
      <c r="N488" s="111"/>
      <c r="O488" s="111"/>
      <c r="P488" s="111"/>
    </row>
    <row r="489" spans="3:16" x14ac:dyDescent="0.3">
      <c r="C489" s="114"/>
      <c r="D489" s="233" t="s">
        <v>717</v>
      </c>
      <c r="E489" s="234" t="s">
        <v>0</v>
      </c>
      <c r="F489" s="235">
        <v>1</v>
      </c>
      <c r="G489" s="236">
        <f>0.1+0.2</f>
        <v>0.30000000000000004</v>
      </c>
      <c r="H489" s="236"/>
      <c r="I489" s="236">
        <v>2.2000000000000002</v>
      </c>
      <c r="J489" s="235">
        <v>1</v>
      </c>
      <c r="K489" s="237"/>
      <c r="L489" s="237">
        <f t="shared" si="67"/>
        <v>0.66000000000000014</v>
      </c>
      <c r="M489" s="111"/>
      <c r="N489" s="111"/>
      <c r="O489" s="111"/>
      <c r="P489" s="111"/>
    </row>
    <row r="490" spans="3:16" x14ac:dyDescent="0.3">
      <c r="C490" s="114"/>
      <c r="D490" s="233" t="s">
        <v>775</v>
      </c>
      <c r="E490" s="234" t="s">
        <v>0</v>
      </c>
      <c r="F490" s="235">
        <v>1</v>
      </c>
      <c r="G490" s="236">
        <f>0.25+0.2</f>
        <v>0.45</v>
      </c>
      <c r="H490" s="236"/>
      <c r="I490" s="236">
        <f>2.83+1</f>
        <v>3.83</v>
      </c>
      <c r="J490" s="235">
        <v>1</v>
      </c>
      <c r="K490" s="237"/>
      <c r="L490" s="237">
        <f t="shared" si="67"/>
        <v>1.7235</v>
      </c>
      <c r="M490" s="111"/>
      <c r="N490" s="111"/>
      <c r="O490" s="111"/>
      <c r="P490" s="111"/>
    </row>
    <row r="491" spans="3:16" x14ac:dyDescent="0.3">
      <c r="C491" s="114"/>
      <c r="D491" s="233" t="s">
        <v>776</v>
      </c>
      <c r="E491" s="234" t="s">
        <v>0</v>
      </c>
      <c r="F491" s="235">
        <v>1</v>
      </c>
      <c r="G491" s="236">
        <f>0.25+0.2+0.2</f>
        <v>0.65</v>
      </c>
      <c r="H491" s="236"/>
      <c r="I491" s="236">
        <v>2.63</v>
      </c>
      <c r="J491" s="235">
        <v>1</v>
      </c>
      <c r="K491" s="237"/>
      <c r="L491" s="237">
        <f t="shared" si="67"/>
        <v>1.7095</v>
      </c>
      <c r="M491" s="111"/>
      <c r="N491" s="111"/>
      <c r="O491" s="111"/>
      <c r="P491" s="111"/>
    </row>
    <row r="492" spans="3:16" x14ac:dyDescent="0.3">
      <c r="C492" s="114"/>
      <c r="D492" s="233" t="s">
        <v>777</v>
      </c>
      <c r="E492" s="234" t="s">
        <v>0</v>
      </c>
      <c r="F492" s="235">
        <v>1</v>
      </c>
      <c r="G492" s="236">
        <f>0.25+0.2</f>
        <v>0.45</v>
      </c>
      <c r="H492" s="236"/>
      <c r="I492" s="236">
        <v>2.63</v>
      </c>
      <c r="J492" s="235">
        <v>1</v>
      </c>
      <c r="K492" s="237"/>
      <c r="L492" s="237">
        <f t="shared" si="67"/>
        <v>1.1835</v>
      </c>
      <c r="M492" s="111"/>
      <c r="N492" s="111"/>
      <c r="O492" s="111"/>
      <c r="P492" s="111"/>
    </row>
    <row r="493" spans="3:16" x14ac:dyDescent="0.3">
      <c r="C493" s="106"/>
      <c r="D493" s="233" t="s">
        <v>778</v>
      </c>
      <c r="E493" s="234" t="s">
        <v>0</v>
      </c>
      <c r="F493" s="235">
        <v>1</v>
      </c>
      <c r="G493" s="236">
        <f>0.2+0.15</f>
        <v>0.35</v>
      </c>
      <c r="H493" s="236"/>
      <c r="I493" s="236">
        <v>5.45</v>
      </c>
      <c r="J493" s="235">
        <v>1</v>
      </c>
      <c r="K493" s="237"/>
      <c r="L493" s="237">
        <f t="shared" si="67"/>
        <v>1.9075</v>
      </c>
      <c r="M493" s="113"/>
      <c r="N493" s="113"/>
      <c r="O493" s="113"/>
      <c r="P493" s="113"/>
    </row>
    <row r="494" spans="3:16" x14ac:dyDescent="0.3">
      <c r="C494" s="114"/>
      <c r="D494" s="233" t="s">
        <v>779</v>
      </c>
      <c r="E494" s="234" t="s">
        <v>0</v>
      </c>
      <c r="F494" s="235">
        <v>1</v>
      </c>
      <c r="G494" s="236">
        <f>0.25+0.2+0.2</f>
        <v>0.65</v>
      </c>
      <c r="H494" s="236"/>
      <c r="I494" s="236">
        <v>4.25</v>
      </c>
      <c r="J494" s="235">
        <v>1</v>
      </c>
      <c r="K494" s="237"/>
      <c r="L494" s="237">
        <f t="shared" si="67"/>
        <v>2.7625000000000002</v>
      </c>
      <c r="M494" s="111"/>
      <c r="N494" s="111"/>
      <c r="O494" s="111"/>
      <c r="P494" s="111"/>
    </row>
    <row r="495" spans="3:16" x14ac:dyDescent="0.3">
      <c r="C495" s="114"/>
      <c r="D495" s="233" t="s">
        <v>780</v>
      </c>
      <c r="E495" s="234" t="s">
        <v>0</v>
      </c>
      <c r="F495" s="235">
        <v>1</v>
      </c>
      <c r="G495" s="236">
        <f>0.1+0.2</f>
        <v>0.30000000000000004</v>
      </c>
      <c r="H495" s="236"/>
      <c r="I495" s="236">
        <v>4.25</v>
      </c>
      <c r="J495" s="235">
        <v>1</v>
      </c>
      <c r="K495" s="237"/>
      <c r="L495" s="237">
        <f t="shared" si="67"/>
        <v>1.2750000000000001</v>
      </c>
      <c r="M495" s="111"/>
      <c r="N495" s="111"/>
      <c r="O495" s="111"/>
      <c r="P495" s="111"/>
    </row>
    <row r="496" spans="3:16" x14ac:dyDescent="0.3">
      <c r="C496" s="114"/>
      <c r="D496" s="233" t="s">
        <v>781</v>
      </c>
      <c r="E496" s="234" t="s">
        <v>0</v>
      </c>
      <c r="F496" s="235">
        <v>1</v>
      </c>
      <c r="G496" s="236">
        <f>0.1+0.2+0.2</f>
        <v>0.5</v>
      </c>
      <c r="H496" s="236"/>
      <c r="I496" s="236">
        <v>2.2000000000000002</v>
      </c>
      <c r="J496" s="235">
        <v>1</v>
      </c>
      <c r="K496" s="237"/>
      <c r="L496" s="237">
        <f t="shared" si="67"/>
        <v>1.1000000000000001</v>
      </c>
      <c r="M496" s="111"/>
      <c r="N496" s="111"/>
      <c r="O496" s="111"/>
      <c r="P496" s="111"/>
    </row>
    <row r="497" spans="3:16" x14ac:dyDescent="0.3">
      <c r="C497" s="114"/>
      <c r="D497" s="233" t="s">
        <v>782</v>
      </c>
      <c r="E497" s="234" t="s">
        <v>0</v>
      </c>
      <c r="F497" s="235">
        <v>1</v>
      </c>
      <c r="G497" s="236">
        <f>0.1+0.2+0.2</f>
        <v>0.5</v>
      </c>
      <c r="H497" s="236"/>
      <c r="I497" s="236">
        <v>5.63</v>
      </c>
      <c r="J497" s="235">
        <v>1</v>
      </c>
      <c r="K497" s="237"/>
      <c r="L497" s="237">
        <f t="shared" si="67"/>
        <v>2.8149999999999999</v>
      </c>
      <c r="M497" s="111"/>
      <c r="N497" s="111"/>
      <c r="O497" s="111"/>
      <c r="P497" s="111"/>
    </row>
    <row r="498" spans="3:16" x14ac:dyDescent="0.3">
      <c r="C498" s="114"/>
      <c r="D498" s="233" t="s">
        <v>783</v>
      </c>
      <c r="E498" s="234" t="s">
        <v>0</v>
      </c>
      <c r="F498" s="235">
        <v>1</v>
      </c>
      <c r="G498" s="236">
        <f>0.25+0.2+0.2</f>
        <v>0.65</v>
      </c>
      <c r="H498" s="236"/>
      <c r="I498" s="236">
        <v>1.2</v>
      </c>
      <c r="J498" s="235">
        <v>1</v>
      </c>
      <c r="K498" s="237"/>
      <c r="L498" s="237">
        <f t="shared" si="67"/>
        <v>0.78</v>
      </c>
      <c r="M498" s="111"/>
      <c r="N498" s="111"/>
      <c r="O498" s="111"/>
      <c r="P498" s="111"/>
    </row>
    <row r="499" spans="3:16" x14ac:dyDescent="0.3">
      <c r="C499" s="114"/>
      <c r="D499" s="233"/>
      <c r="E499" s="234" t="s">
        <v>0</v>
      </c>
      <c r="F499" s="235">
        <v>1</v>
      </c>
      <c r="G499" s="236">
        <f>0.1+0.2+0.2</f>
        <v>0.5</v>
      </c>
      <c r="H499" s="236"/>
      <c r="I499" s="236">
        <v>1</v>
      </c>
      <c r="J499" s="235">
        <v>1</v>
      </c>
      <c r="K499" s="237"/>
      <c r="L499" s="237">
        <f t="shared" si="67"/>
        <v>0.5</v>
      </c>
      <c r="M499" s="111"/>
      <c r="N499" s="111"/>
      <c r="O499" s="111"/>
      <c r="P499" s="111"/>
    </row>
    <row r="500" spans="3:16" x14ac:dyDescent="0.3">
      <c r="C500" s="114"/>
      <c r="D500" s="233" t="s">
        <v>784</v>
      </c>
      <c r="E500" s="234" t="s">
        <v>0</v>
      </c>
      <c r="F500" s="235">
        <v>1</v>
      </c>
      <c r="G500" s="236">
        <f>0.1+0.2+0.2</f>
        <v>0.5</v>
      </c>
      <c r="H500" s="236"/>
      <c r="I500" s="236">
        <v>5.69</v>
      </c>
      <c r="J500" s="235">
        <v>1</v>
      </c>
      <c r="K500" s="237"/>
      <c r="L500" s="237">
        <f t="shared" si="67"/>
        <v>2.8450000000000002</v>
      </c>
      <c r="M500" s="111"/>
      <c r="N500" s="111"/>
      <c r="O500" s="111"/>
      <c r="P500" s="111"/>
    </row>
    <row r="501" spans="3:16" x14ac:dyDescent="0.3">
      <c r="C501" s="114"/>
      <c r="D501" s="233" t="s">
        <v>785</v>
      </c>
      <c r="E501" s="234" t="s">
        <v>0</v>
      </c>
      <c r="F501" s="235">
        <v>1</v>
      </c>
      <c r="G501" s="236">
        <f>0.25+0.2</f>
        <v>0.45</v>
      </c>
      <c r="H501" s="236"/>
      <c r="I501" s="236">
        <v>4.3499999999999996</v>
      </c>
      <c r="J501" s="235">
        <v>1</v>
      </c>
      <c r="K501" s="237"/>
      <c r="L501" s="237">
        <f t="shared" si="67"/>
        <v>1.9574999999999998</v>
      </c>
      <c r="M501" s="111"/>
      <c r="N501" s="111"/>
      <c r="O501" s="111"/>
      <c r="P501" s="111"/>
    </row>
    <row r="502" spans="3:16" x14ac:dyDescent="0.3">
      <c r="C502" s="114"/>
      <c r="D502" s="233" t="s">
        <v>786</v>
      </c>
      <c r="E502" s="234" t="s">
        <v>0</v>
      </c>
      <c r="F502" s="235">
        <v>1</v>
      </c>
      <c r="G502" s="236">
        <f>0.25+0.2+0.2</f>
        <v>0.65</v>
      </c>
      <c r="H502" s="236"/>
      <c r="I502" s="236">
        <v>3.84</v>
      </c>
      <c r="J502" s="235">
        <v>1</v>
      </c>
      <c r="K502" s="237"/>
      <c r="L502" s="237">
        <f t="shared" si="67"/>
        <v>2.496</v>
      </c>
      <c r="M502" s="111"/>
      <c r="N502" s="111"/>
      <c r="O502" s="111"/>
      <c r="P502" s="111"/>
    </row>
    <row r="503" spans="3:16" x14ac:dyDescent="0.3">
      <c r="C503" s="114"/>
      <c r="D503" s="233"/>
      <c r="E503" s="234" t="s">
        <v>0</v>
      </c>
      <c r="F503" s="235">
        <v>1</v>
      </c>
      <c r="G503" s="236">
        <f>0.1+0.2+0.2</f>
        <v>0.5</v>
      </c>
      <c r="H503" s="236"/>
      <c r="I503" s="236">
        <v>0.51</v>
      </c>
      <c r="J503" s="235">
        <v>1</v>
      </c>
      <c r="K503" s="237"/>
      <c r="L503" s="237">
        <f t="shared" si="67"/>
        <v>0.255</v>
      </c>
      <c r="M503" s="111"/>
      <c r="N503" s="111"/>
      <c r="O503" s="111"/>
      <c r="P503" s="111"/>
    </row>
    <row r="504" spans="3:16" x14ac:dyDescent="0.3">
      <c r="C504" s="114"/>
      <c r="D504" s="233" t="s">
        <v>787</v>
      </c>
      <c r="E504" s="234" t="s">
        <v>0</v>
      </c>
      <c r="F504" s="235">
        <v>1</v>
      </c>
      <c r="G504" s="236">
        <f>0.1+0.2</f>
        <v>0.30000000000000004</v>
      </c>
      <c r="H504" s="236"/>
      <c r="I504" s="236">
        <v>2.2999999999999998</v>
      </c>
      <c r="J504" s="235">
        <v>1</v>
      </c>
      <c r="K504" s="237"/>
      <c r="L504" s="237">
        <f t="shared" si="67"/>
        <v>0.69000000000000006</v>
      </c>
      <c r="M504" s="111"/>
      <c r="N504" s="111"/>
      <c r="O504" s="111"/>
      <c r="P504" s="111"/>
    </row>
    <row r="505" spans="3:16" x14ac:dyDescent="0.3">
      <c r="C505" s="114"/>
      <c r="D505" s="233"/>
      <c r="E505" s="234" t="s">
        <v>0</v>
      </c>
      <c r="F505" s="235">
        <v>1</v>
      </c>
      <c r="G505" s="236">
        <f>0.1+0.2</f>
        <v>0.30000000000000004</v>
      </c>
      <c r="H505" s="236"/>
      <c r="I505" s="236">
        <v>0.5</v>
      </c>
      <c r="J505" s="235">
        <v>1</v>
      </c>
      <c r="K505" s="237"/>
      <c r="L505" s="237">
        <f t="shared" si="67"/>
        <v>0.15000000000000002</v>
      </c>
      <c r="M505" s="111"/>
      <c r="N505" s="111"/>
      <c r="O505" s="111"/>
      <c r="P505" s="111"/>
    </row>
    <row r="506" spans="3:16" x14ac:dyDescent="0.3">
      <c r="C506" s="114"/>
      <c r="D506" s="233"/>
      <c r="E506" s="234" t="s">
        <v>0</v>
      </c>
      <c r="F506" s="235">
        <v>1</v>
      </c>
      <c r="G506" s="236">
        <f>0.25+0.2+0.2</f>
        <v>0.65</v>
      </c>
      <c r="H506" s="236"/>
      <c r="I506" s="236">
        <v>1.55</v>
      </c>
      <c r="J506" s="235">
        <v>1</v>
      </c>
      <c r="K506" s="237"/>
      <c r="L506" s="237">
        <f t="shared" si="67"/>
        <v>1.0075000000000001</v>
      </c>
      <c r="M506" s="111"/>
      <c r="N506" s="111"/>
      <c r="O506" s="111"/>
      <c r="P506" s="111"/>
    </row>
    <row r="507" spans="3:16" x14ac:dyDescent="0.3">
      <c r="C507" s="114"/>
      <c r="D507" s="233" t="s">
        <v>788</v>
      </c>
      <c r="E507" s="234" t="s">
        <v>0</v>
      </c>
      <c r="F507" s="235">
        <v>1</v>
      </c>
      <c r="G507" s="236">
        <f>0.25+0.2+0.2</f>
        <v>0.65</v>
      </c>
      <c r="H507" s="236"/>
      <c r="I507" s="236">
        <v>2.2000000000000002</v>
      </c>
      <c r="J507" s="235">
        <v>1</v>
      </c>
      <c r="K507" s="237"/>
      <c r="L507" s="237">
        <f t="shared" si="67"/>
        <v>1.4300000000000002</v>
      </c>
      <c r="M507" s="111"/>
      <c r="N507" s="111"/>
      <c r="O507" s="111"/>
      <c r="P507" s="111"/>
    </row>
    <row r="508" spans="3:16" x14ac:dyDescent="0.3">
      <c r="C508" s="114"/>
      <c r="D508" s="233" t="s">
        <v>789</v>
      </c>
      <c r="E508" s="234" t="s">
        <v>0</v>
      </c>
      <c r="F508" s="235">
        <v>1</v>
      </c>
      <c r="G508" s="236">
        <f>0.25+0.2+0.2</f>
        <v>0.65</v>
      </c>
      <c r="H508" s="236"/>
      <c r="I508" s="236">
        <v>5.69</v>
      </c>
      <c r="J508" s="235">
        <v>1</v>
      </c>
      <c r="K508" s="237"/>
      <c r="L508" s="237">
        <f t="shared" si="67"/>
        <v>3.6985000000000006</v>
      </c>
      <c r="M508" s="111"/>
      <c r="N508" s="111"/>
      <c r="O508" s="111"/>
      <c r="P508" s="111"/>
    </row>
    <row r="509" spans="3:16" x14ac:dyDescent="0.3">
      <c r="C509" s="114"/>
      <c r="D509" s="233" t="s">
        <v>790</v>
      </c>
      <c r="E509" s="234" t="s">
        <v>0</v>
      </c>
      <c r="F509" s="235">
        <v>1</v>
      </c>
      <c r="G509" s="236">
        <f>0.25+0.2</f>
        <v>0.45</v>
      </c>
      <c r="H509" s="236"/>
      <c r="I509" s="236">
        <v>3.81</v>
      </c>
      <c r="J509" s="235">
        <v>1</v>
      </c>
      <c r="K509" s="237"/>
      <c r="L509" s="237">
        <f t="shared" si="67"/>
        <v>1.7145000000000001</v>
      </c>
      <c r="M509" s="111"/>
      <c r="N509" s="111"/>
      <c r="O509" s="111"/>
      <c r="P509" s="111"/>
    </row>
    <row r="510" spans="3:16" x14ac:dyDescent="0.3">
      <c r="C510" s="114"/>
      <c r="D510" s="233" t="s">
        <v>791</v>
      </c>
      <c r="E510" s="234" t="s">
        <v>0</v>
      </c>
      <c r="F510" s="235">
        <v>1</v>
      </c>
      <c r="G510" s="236">
        <f>0.25+0.2+0.2</f>
        <v>0.65</v>
      </c>
      <c r="H510" s="236"/>
      <c r="I510" s="236">
        <v>3.81</v>
      </c>
      <c r="J510" s="235">
        <v>1</v>
      </c>
      <c r="K510" s="237"/>
      <c r="L510" s="237">
        <f t="shared" si="67"/>
        <v>2.4765000000000001</v>
      </c>
      <c r="M510" s="111"/>
      <c r="N510" s="111"/>
      <c r="O510" s="111"/>
      <c r="P510" s="111"/>
    </row>
    <row r="511" spans="3:16" x14ac:dyDescent="0.3">
      <c r="C511" s="114"/>
      <c r="D511" s="233" t="s">
        <v>792</v>
      </c>
      <c r="E511" s="234" t="s">
        <v>0</v>
      </c>
      <c r="F511" s="235">
        <v>1</v>
      </c>
      <c r="G511" s="236">
        <f>0.1+0.2</f>
        <v>0.30000000000000004</v>
      </c>
      <c r="H511" s="236"/>
      <c r="I511" s="236">
        <v>2.2999999999999998</v>
      </c>
      <c r="J511" s="235">
        <v>1</v>
      </c>
      <c r="K511" s="237"/>
      <c r="L511" s="237">
        <f t="shared" si="67"/>
        <v>0.69000000000000006</v>
      </c>
      <c r="M511" s="111"/>
      <c r="N511" s="111"/>
      <c r="O511" s="111"/>
      <c r="P511" s="111"/>
    </row>
    <row r="512" spans="3:16" x14ac:dyDescent="0.3">
      <c r="C512" s="114"/>
      <c r="D512" s="233"/>
      <c r="E512" s="234" t="s">
        <v>0</v>
      </c>
      <c r="F512" s="235">
        <v>1</v>
      </c>
      <c r="G512" s="236">
        <f>0.1+0.2</f>
        <v>0.30000000000000004</v>
      </c>
      <c r="H512" s="236"/>
      <c r="I512" s="236">
        <v>1.5</v>
      </c>
      <c r="J512" s="235">
        <v>1</v>
      </c>
      <c r="K512" s="237"/>
      <c r="L512" s="237">
        <f t="shared" si="67"/>
        <v>0.45000000000000007</v>
      </c>
      <c r="M512" s="111"/>
      <c r="N512" s="111"/>
      <c r="O512" s="111"/>
      <c r="P512" s="111"/>
    </row>
    <row r="513" spans="3:16" x14ac:dyDescent="0.3">
      <c r="C513" s="114"/>
      <c r="D513" s="233" t="s">
        <v>793</v>
      </c>
      <c r="E513" s="234" t="s">
        <v>0</v>
      </c>
      <c r="F513" s="235">
        <v>1</v>
      </c>
      <c r="G513" s="236">
        <f>0.25+0.2+0.2</f>
        <v>0.65</v>
      </c>
      <c r="H513" s="236"/>
      <c r="I513" s="236">
        <v>2.1</v>
      </c>
      <c r="J513" s="235">
        <v>1</v>
      </c>
      <c r="K513" s="237"/>
      <c r="L513" s="237">
        <f t="shared" si="67"/>
        <v>1.3650000000000002</v>
      </c>
      <c r="M513" s="111"/>
      <c r="N513" s="111"/>
      <c r="O513" s="111"/>
      <c r="P513" s="111"/>
    </row>
    <row r="514" spans="3:16" x14ac:dyDescent="0.3">
      <c r="C514" s="114"/>
      <c r="D514" s="233" t="s">
        <v>794</v>
      </c>
      <c r="E514" s="234" t="s">
        <v>0</v>
      </c>
      <c r="F514" s="235">
        <v>1</v>
      </c>
      <c r="G514" s="236">
        <f>0.25+0.2+0.2</f>
        <v>0.65</v>
      </c>
      <c r="H514" s="236"/>
      <c r="I514" s="236">
        <v>5.69</v>
      </c>
      <c r="J514" s="235">
        <v>1</v>
      </c>
      <c r="K514" s="237"/>
      <c r="L514" s="237">
        <f t="shared" si="67"/>
        <v>3.6985000000000006</v>
      </c>
      <c r="M514" s="111"/>
      <c r="N514" s="111"/>
      <c r="O514" s="111"/>
      <c r="P514" s="111"/>
    </row>
    <row r="515" spans="3:16" x14ac:dyDescent="0.3">
      <c r="C515" s="114"/>
      <c r="D515" s="233" t="s">
        <v>795</v>
      </c>
      <c r="E515" s="234" t="s">
        <v>0</v>
      </c>
      <c r="F515" s="235">
        <v>1</v>
      </c>
      <c r="G515" s="236">
        <f>0.25+0.2</f>
        <v>0.45</v>
      </c>
      <c r="H515" s="236"/>
      <c r="I515" s="236">
        <v>4.34</v>
      </c>
      <c r="J515" s="235">
        <v>1</v>
      </c>
      <c r="K515" s="237"/>
      <c r="L515" s="237">
        <f t="shared" si="67"/>
        <v>1.9530000000000001</v>
      </c>
      <c r="M515" s="111"/>
      <c r="N515" s="111"/>
      <c r="O515" s="111"/>
      <c r="P515" s="111"/>
    </row>
    <row r="516" spans="3:16" x14ac:dyDescent="0.3">
      <c r="C516" s="114"/>
      <c r="D516" s="233" t="s">
        <v>796</v>
      </c>
      <c r="E516" s="234" t="s">
        <v>0</v>
      </c>
      <c r="F516" s="235">
        <v>1</v>
      </c>
      <c r="G516" s="236">
        <f>0.1+0.2+0.2</f>
        <v>0.5</v>
      </c>
      <c r="H516" s="236"/>
      <c r="I516" s="236">
        <v>1.47</v>
      </c>
      <c r="J516" s="235">
        <v>1</v>
      </c>
      <c r="K516" s="237"/>
      <c r="L516" s="237">
        <f t="shared" si="67"/>
        <v>0.73499999999999999</v>
      </c>
      <c r="M516" s="111"/>
      <c r="N516" s="111"/>
      <c r="O516" s="111"/>
      <c r="P516" s="111"/>
    </row>
    <row r="517" spans="3:16" x14ac:dyDescent="0.3">
      <c r="C517" s="114"/>
      <c r="D517" s="233"/>
      <c r="E517" s="234" t="s">
        <v>0</v>
      </c>
      <c r="F517" s="235">
        <v>1</v>
      </c>
      <c r="G517" s="236">
        <f>0.25+0.2+0.2</f>
        <v>0.65</v>
      </c>
      <c r="H517" s="236"/>
      <c r="I517" s="236">
        <v>2.87</v>
      </c>
      <c r="J517" s="235">
        <v>1</v>
      </c>
      <c r="K517" s="237"/>
      <c r="L517" s="237">
        <f t="shared" si="67"/>
        <v>1.8655000000000002</v>
      </c>
      <c r="M517" s="111"/>
      <c r="N517" s="111"/>
      <c r="O517" s="111"/>
      <c r="P517" s="111"/>
    </row>
    <row r="518" spans="3:16" x14ac:dyDescent="0.3">
      <c r="C518" s="114"/>
      <c r="D518" s="233" t="s">
        <v>797</v>
      </c>
      <c r="E518" s="234" t="s">
        <v>0</v>
      </c>
      <c r="F518" s="235">
        <v>1</v>
      </c>
      <c r="G518" s="236">
        <f>0.1+0.2</f>
        <v>0.30000000000000004</v>
      </c>
      <c r="H518" s="236"/>
      <c r="I518" s="236">
        <v>1.47</v>
      </c>
      <c r="J518" s="235">
        <v>1</v>
      </c>
      <c r="K518" s="237"/>
      <c r="L518" s="237">
        <f t="shared" si="67"/>
        <v>0.44100000000000006</v>
      </c>
      <c r="M518" s="111"/>
      <c r="N518" s="111"/>
      <c r="O518" s="111"/>
      <c r="P518" s="111"/>
    </row>
    <row r="519" spans="3:16" x14ac:dyDescent="0.3">
      <c r="C519" s="114"/>
      <c r="D519" s="280"/>
      <c r="E519" s="234" t="s">
        <v>0</v>
      </c>
      <c r="F519" s="235">
        <v>1</v>
      </c>
      <c r="G519" s="236">
        <f>0.1+0.2</f>
        <v>0.30000000000000004</v>
      </c>
      <c r="H519" s="236"/>
      <c r="I519" s="236">
        <v>1.33</v>
      </c>
      <c r="J519" s="235">
        <v>1</v>
      </c>
      <c r="K519" s="237"/>
      <c r="L519" s="237">
        <f t="shared" si="67"/>
        <v>0.39900000000000008</v>
      </c>
      <c r="M519" s="111"/>
      <c r="N519" s="111"/>
      <c r="O519" s="111"/>
      <c r="P519" s="111"/>
    </row>
    <row r="520" spans="3:16" x14ac:dyDescent="0.3">
      <c r="C520" s="114"/>
      <c r="D520" s="280"/>
      <c r="E520" s="234" t="s">
        <v>0</v>
      </c>
      <c r="F520" s="235">
        <v>1</v>
      </c>
      <c r="G520" s="236">
        <f>0.25+0.2</f>
        <v>0.45</v>
      </c>
      <c r="H520" s="236"/>
      <c r="I520" s="236">
        <v>1.56</v>
      </c>
      <c r="J520" s="235">
        <v>1</v>
      </c>
      <c r="K520" s="237"/>
      <c r="L520" s="237">
        <f t="shared" si="67"/>
        <v>0.70200000000000007</v>
      </c>
      <c r="M520" s="111"/>
      <c r="N520" s="111"/>
      <c r="O520" s="111"/>
      <c r="P520" s="111"/>
    </row>
    <row r="521" spans="3:16" x14ac:dyDescent="0.3">
      <c r="C521" s="114"/>
      <c r="D521" s="233" t="s">
        <v>798</v>
      </c>
      <c r="E521" s="234" t="s">
        <v>0</v>
      </c>
      <c r="F521" s="235">
        <v>1</v>
      </c>
      <c r="G521" s="236">
        <f>0.25+0.2+0.2</f>
        <v>0.65</v>
      </c>
      <c r="H521" s="236"/>
      <c r="I521" s="236">
        <v>2.1</v>
      </c>
      <c r="J521" s="235">
        <v>1</v>
      </c>
      <c r="K521" s="237"/>
      <c r="L521" s="237">
        <f t="shared" si="67"/>
        <v>1.3650000000000002</v>
      </c>
      <c r="M521" s="111"/>
      <c r="N521" s="111"/>
      <c r="O521" s="111"/>
      <c r="P521" s="111"/>
    </row>
    <row r="522" spans="3:16" x14ac:dyDescent="0.3">
      <c r="C522" s="114"/>
      <c r="D522" s="233" t="s">
        <v>799</v>
      </c>
      <c r="E522" s="234" t="s">
        <v>0</v>
      </c>
      <c r="F522" s="235">
        <v>1</v>
      </c>
      <c r="G522" s="236">
        <f>0.25+0.2+0.2</f>
        <v>0.65</v>
      </c>
      <c r="H522" s="236"/>
      <c r="I522" s="236">
        <v>1.2</v>
      </c>
      <c r="J522" s="235">
        <v>1</v>
      </c>
      <c r="K522" s="237"/>
      <c r="L522" s="237">
        <f t="shared" si="67"/>
        <v>0.78</v>
      </c>
      <c r="M522" s="111"/>
      <c r="N522" s="111"/>
      <c r="O522" s="111"/>
      <c r="P522" s="111"/>
    </row>
    <row r="523" spans="3:16" x14ac:dyDescent="0.3">
      <c r="C523" s="114"/>
      <c r="D523" s="233"/>
      <c r="E523" s="234" t="s">
        <v>0</v>
      </c>
      <c r="F523" s="235">
        <v>1</v>
      </c>
      <c r="G523" s="236">
        <f>0.1+0.2+0.2</f>
        <v>0.5</v>
      </c>
      <c r="H523" s="236"/>
      <c r="I523" s="236">
        <v>4.49</v>
      </c>
      <c r="J523" s="235">
        <v>1</v>
      </c>
      <c r="K523" s="237"/>
      <c r="L523" s="237">
        <f t="shared" si="67"/>
        <v>2.2450000000000001</v>
      </c>
      <c r="M523" s="111"/>
      <c r="N523" s="111"/>
      <c r="O523" s="111"/>
      <c r="P523" s="111"/>
    </row>
    <row r="524" spans="3:16" x14ac:dyDescent="0.3">
      <c r="C524" s="114"/>
      <c r="D524" s="233" t="s">
        <v>800</v>
      </c>
      <c r="E524" s="234" t="s">
        <v>0</v>
      </c>
      <c r="F524" s="235">
        <v>1</v>
      </c>
      <c r="G524" s="236">
        <f>0.25+0.2</f>
        <v>0.45</v>
      </c>
      <c r="H524" s="236"/>
      <c r="I524" s="236">
        <v>3.78</v>
      </c>
      <c r="J524" s="235">
        <v>1</v>
      </c>
      <c r="K524" s="237"/>
      <c r="L524" s="237">
        <f t="shared" si="67"/>
        <v>1.7009999999999998</v>
      </c>
      <c r="M524" s="111"/>
      <c r="N524" s="111"/>
      <c r="O524" s="111"/>
      <c r="P524" s="111"/>
    </row>
    <row r="525" spans="3:16" x14ac:dyDescent="0.3">
      <c r="C525" s="114"/>
      <c r="D525" s="233" t="s">
        <v>801</v>
      </c>
      <c r="E525" s="234" t="s">
        <v>0</v>
      </c>
      <c r="F525" s="235">
        <v>1</v>
      </c>
      <c r="G525" s="236">
        <f>0.25+0.2+0.2</f>
        <v>0.65</v>
      </c>
      <c r="H525" s="236"/>
      <c r="I525" s="236">
        <f>1.5+2.28</f>
        <v>3.78</v>
      </c>
      <c r="J525" s="235">
        <v>1</v>
      </c>
      <c r="K525" s="237"/>
      <c r="L525" s="237">
        <f t="shared" si="67"/>
        <v>2.4569999999999999</v>
      </c>
      <c r="M525" s="111"/>
      <c r="N525" s="111"/>
      <c r="O525" s="111"/>
      <c r="P525" s="111"/>
    </row>
    <row r="526" spans="3:16" x14ac:dyDescent="0.3">
      <c r="C526" s="114"/>
      <c r="D526" s="233" t="s">
        <v>802</v>
      </c>
      <c r="E526" s="234" t="s">
        <v>0</v>
      </c>
      <c r="F526" s="235">
        <v>1</v>
      </c>
      <c r="G526" s="236">
        <f>0.1+0.2</f>
        <v>0.30000000000000004</v>
      </c>
      <c r="H526" s="236"/>
      <c r="I526" s="236">
        <v>2.2799999999999998</v>
      </c>
      <c r="J526" s="235">
        <v>1</v>
      </c>
      <c r="K526" s="237"/>
      <c r="L526" s="237">
        <f t="shared" si="67"/>
        <v>0.68400000000000005</v>
      </c>
      <c r="M526" s="111"/>
      <c r="N526" s="111"/>
      <c r="O526" s="111"/>
      <c r="P526" s="111"/>
    </row>
    <row r="527" spans="3:16" x14ac:dyDescent="0.3">
      <c r="C527" s="114"/>
      <c r="D527" s="280"/>
      <c r="E527" s="234" t="s">
        <v>0</v>
      </c>
      <c r="F527" s="235">
        <v>1</v>
      </c>
      <c r="G527" s="236">
        <f>0.25+0.2</f>
        <v>0.45</v>
      </c>
      <c r="H527" s="236"/>
      <c r="I527" s="236">
        <v>1.5</v>
      </c>
      <c r="J527" s="235">
        <v>1</v>
      </c>
      <c r="K527" s="237"/>
      <c r="L527" s="237">
        <f t="shared" si="67"/>
        <v>0.67500000000000004</v>
      </c>
      <c r="M527" s="111"/>
      <c r="N527" s="111"/>
      <c r="O527" s="111"/>
      <c r="P527" s="111"/>
    </row>
    <row r="528" spans="3:16" x14ac:dyDescent="0.3">
      <c r="C528" s="114"/>
      <c r="D528" s="233" t="s">
        <v>803</v>
      </c>
      <c r="E528" s="234" t="s">
        <v>0</v>
      </c>
      <c r="F528" s="235">
        <v>1</v>
      </c>
      <c r="G528" s="236">
        <f>0.25+0.2+0.2</f>
        <v>0.65</v>
      </c>
      <c r="H528" s="236"/>
      <c r="I528" s="236">
        <v>2.2000000000000002</v>
      </c>
      <c r="J528" s="235">
        <v>1</v>
      </c>
      <c r="K528" s="237"/>
      <c r="L528" s="237">
        <f t="shared" si="67"/>
        <v>1.4300000000000002</v>
      </c>
      <c r="M528" s="111"/>
      <c r="N528" s="111"/>
      <c r="O528" s="111"/>
      <c r="P528" s="111"/>
    </row>
    <row r="529" spans="3:16" x14ac:dyDescent="0.3">
      <c r="C529" s="114"/>
      <c r="D529" s="233" t="s">
        <v>804</v>
      </c>
      <c r="E529" s="234" t="s">
        <v>0</v>
      </c>
      <c r="F529" s="235">
        <v>1</v>
      </c>
      <c r="G529" s="236">
        <f>0.25+0.2+0.2</f>
        <v>0.65</v>
      </c>
      <c r="H529" s="236"/>
      <c r="I529" s="236">
        <v>5.69</v>
      </c>
      <c r="J529" s="235">
        <v>1</v>
      </c>
      <c r="K529" s="237"/>
      <c r="L529" s="237">
        <f t="shared" si="67"/>
        <v>3.6985000000000006</v>
      </c>
      <c r="M529" s="111"/>
      <c r="N529" s="111"/>
      <c r="O529" s="111"/>
      <c r="P529" s="111"/>
    </row>
    <row r="530" spans="3:16" x14ac:dyDescent="0.3">
      <c r="C530" s="114"/>
      <c r="D530" s="233" t="s">
        <v>805</v>
      </c>
      <c r="E530" s="234" t="s">
        <v>0</v>
      </c>
      <c r="F530" s="235">
        <v>1</v>
      </c>
      <c r="G530" s="236">
        <f>0.25+0.2</f>
        <v>0.45</v>
      </c>
      <c r="H530" s="236"/>
      <c r="I530" s="236">
        <v>4.3600000000000003</v>
      </c>
      <c r="J530" s="235">
        <v>1</v>
      </c>
      <c r="K530" s="237"/>
      <c r="L530" s="237">
        <f t="shared" si="67"/>
        <v>1.9620000000000002</v>
      </c>
      <c r="M530" s="111"/>
      <c r="N530" s="111"/>
      <c r="O530" s="111"/>
      <c r="P530" s="111"/>
    </row>
    <row r="531" spans="3:16" x14ac:dyDescent="0.3">
      <c r="C531" s="114"/>
      <c r="D531" s="233" t="s">
        <v>806</v>
      </c>
      <c r="E531" s="234" t="s">
        <v>0</v>
      </c>
      <c r="F531" s="235">
        <v>1</v>
      </c>
      <c r="G531" s="236">
        <f>0.25+0.2+0.2</f>
        <v>0.65</v>
      </c>
      <c r="H531" s="236"/>
      <c r="I531" s="236">
        <f>1.63+1.53</f>
        <v>3.16</v>
      </c>
      <c r="J531" s="235">
        <v>1</v>
      </c>
      <c r="K531" s="237"/>
      <c r="L531" s="237">
        <f t="shared" si="67"/>
        <v>2.0540000000000003</v>
      </c>
      <c r="M531" s="111"/>
      <c r="N531" s="111"/>
      <c r="O531" s="111"/>
      <c r="P531" s="111"/>
    </row>
    <row r="532" spans="3:16" x14ac:dyDescent="0.3">
      <c r="C532" s="114"/>
      <c r="D532" s="233" t="s">
        <v>807</v>
      </c>
      <c r="E532" s="234" t="s">
        <v>0</v>
      </c>
      <c r="F532" s="235">
        <v>1</v>
      </c>
      <c r="G532" s="236">
        <f>0.1+0.2</f>
        <v>0.30000000000000004</v>
      </c>
      <c r="H532" s="236"/>
      <c r="I532" s="236">
        <v>1.63</v>
      </c>
      <c r="J532" s="235">
        <v>1</v>
      </c>
      <c r="K532" s="237"/>
      <c r="L532" s="237">
        <f t="shared" si="67"/>
        <v>0.48900000000000005</v>
      </c>
      <c r="M532" s="111"/>
      <c r="N532" s="111"/>
      <c r="O532" s="111"/>
      <c r="P532" s="111"/>
    </row>
    <row r="533" spans="3:16" x14ac:dyDescent="0.3">
      <c r="C533" s="114"/>
      <c r="D533" s="280"/>
      <c r="E533" s="234" t="s">
        <v>0</v>
      </c>
      <c r="F533" s="235">
        <v>1</v>
      </c>
      <c r="G533" s="236">
        <f>0.25+0.2</f>
        <v>0.45</v>
      </c>
      <c r="H533" s="236"/>
      <c r="I533" s="236">
        <v>1.53</v>
      </c>
      <c r="J533" s="235">
        <v>1</v>
      </c>
      <c r="K533" s="237"/>
      <c r="L533" s="237">
        <f t="shared" si="67"/>
        <v>0.6885</v>
      </c>
      <c r="M533" s="111"/>
      <c r="N533" s="111"/>
      <c r="O533" s="111"/>
      <c r="P533" s="111"/>
    </row>
    <row r="534" spans="3:16" x14ac:dyDescent="0.3">
      <c r="C534" s="114"/>
      <c r="D534" s="233" t="s">
        <v>808</v>
      </c>
      <c r="E534" s="234" t="s">
        <v>0</v>
      </c>
      <c r="F534" s="235">
        <v>1</v>
      </c>
      <c r="G534" s="236">
        <f>0.25+0.2+0.2</f>
        <v>0.65</v>
      </c>
      <c r="H534" s="236"/>
      <c r="I534" s="236">
        <v>2.2000000000000002</v>
      </c>
      <c r="J534" s="235">
        <v>1</v>
      </c>
      <c r="K534" s="237"/>
      <c r="L534" s="237">
        <f t="shared" si="67"/>
        <v>1.4300000000000002</v>
      </c>
      <c r="M534" s="111"/>
      <c r="N534" s="111"/>
      <c r="O534" s="111"/>
      <c r="P534" s="111"/>
    </row>
    <row r="535" spans="3:16" x14ac:dyDescent="0.3">
      <c r="C535" s="114"/>
      <c r="D535" s="233" t="s">
        <v>809</v>
      </c>
      <c r="E535" s="234" t="s">
        <v>0</v>
      </c>
      <c r="F535" s="235">
        <v>1</v>
      </c>
      <c r="G535" s="236">
        <f>0.25+0.2+0.2</f>
        <v>0.65</v>
      </c>
      <c r="H535" s="236"/>
      <c r="I535" s="236">
        <v>5.69</v>
      </c>
      <c r="J535" s="235">
        <v>1</v>
      </c>
      <c r="K535" s="237"/>
      <c r="L535" s="237">
        <f t="shared" si="67"/>
        <v>3.6985000000000006</v>
      </c>
      <c r="M535" s="111"/>
      <c r="N535" s="111"/>
      <c r="O535" s="111"/>
      <c r="P535" s="111"/>
    </row>
    <row r="536" spans="3:16" x14ac:dyDescent="0.3">
      <c r="C536" s="114"/>
      <c r="D536" s="233" t="s">
        <v>805</v>
      </c>
      <c r="E536" s="234" t="s">
        <v>0</v>
      </c>
      <c r="F536" s="235">
        <v>1</v>
      </c>
      <c r="G536" s="236">
        <f>0.25+0.2</f>
        <v>0.45</v>
      </c>
      <c r="H536" s="236"/>
      <c r="I536" s="236">
        <v>3.81</v>
      </c>
      <c r="J536" s="235">
        <v>1</v>
      </c>
      <c r="K536" s="237"/>
      <c r="L536" s="237">
        <f t="shared" si="67"/>
        <v>1.7145000000000001</v>
      </c>
      <c r="M536" s="111"/>
      <c r="N536" s="111"/>
      <c r="O536" s="111"/>
      <c r="P536" s="111"/>
    </row>
    <row r="537" spans="3:16" x14ac:dyDescent="0.3">
      <c r="C537" s="114"/>
      <c r="D537" s="233" t="s">
        <v>806</v>
      </c>
      <c r="E537" s="234" t="s">
        <v>0</v>
      </c>
      <c r="F537" s="235">
        <v>1</v>
      </c>
      <c r="G537" s="236">
        <f>0.25+0.2+0.2</f>
        <v>0.65</v>
      </c>
      <c r="H537" s="236"/>
      <c r="I537" s="236">
        <f>2.3+1.5</f>
        <v>3.8</v>
      </c>
      <c r="J537" s="235">
        <v>1</v>
      </c>
      <c r="K537" s="237"/>
      <c r="L537" s="237">
        <f t="shared" si="67"/>
        <v>2.4699999999999998</v>
      </c>
      <c r="M537" s="111"/>
      <c r="N537" s="111"/>
      <c r="O537" s="111"/>
      <c r="P537" s="111"/>
    </row>
    <row r="538" spans="3:16" x14ac:dyDescent="0.3">
      <c r="C538" s="114"/>
      <c r="D538" s="233" t="s">
        <v>807</v>
      </c>
      <c r="E538" s="234" t="s">
        <v>0</v>
      </c>
      <c r="F538" s="235">
        <v>1</v>
      </c>
      <c r="G538" s="236">
        <f>0.1+0.2</f>
        <v>0.30000000000000004</v>
      </c>
      <c r="H538" s="236"/>
      <c r="I538" s="236">
        <v>2.2999999999999998</v>
      </c>
      <c r="J538" s="235">
        <v>1</v>
      </c>
      <c r="K538" s="237"/>
      <c r="L538" s="237">
        <f t="shared" si="67"/>
        <v>0.69000000000000006</v>
      </c>
      <c r="M538" s="111"/>
      <c r="N538" s="111"/>
      <c r="O538" s="111"/>
      <c r="P538" s="111"/>
    </row>
    <row r="539" spans="3:16" x14ac:dyDescent="0.3">
      <c r="C539" s="114"/>
      <c r="D539" s="280"/>
      <c r="E539" s="234" t="s">
        <v>0</v>
      </c>
      <c r="F539" s="235">
        <v>1</v>
      </c>
      <c r="G539" s="236">
        <f>0.25+0.2</f>
        <v>0.45</v>
      </c>
      <c r="H539" s="236"/>
      <c r="I539" s="236">
        <v>1.5</v>
      </c>
      <c r="J539" s="235">
        <v>1</v>
      </c>
      <c r="K539" s="237"/>
      <c r="L539" s="237">
        <f t="shared" si="67"/>
        <v>0.67500000000000004</v>
      </c>
      <c r="M539" s="111"/>
      <c r="N539" s="111"/>
      <c r="O539" s="111"/>
      <c r="P539" s="111"/>
    </row>
    <row r="540" spans="3:16" x14ac:dyDescent="0.3">
      <c r="C540" s="114"/>
      <c r="D540" s="233" t="s">
        <v>810</v>
      </c>
      <c r="E540" s="234" t="s">
        <v>0</v>
      </c>
      <c r="F540" s="235">
        <v>1</v>
      </c>
      <c r="G540" s="236">
        <f>0.25+0.2+0.2</f>
        <v>0.65</v>
      </c>
      <c r="H540" s="236"/>
      <c r="I540" s="236">
        <v>2.2000000000000002</v>
      </c>
      <c r="J540" s="235">
        <v>1</v>
      </c>
      <c r="K540" s="237"/>
      <c r="L540" s="237">
        <f t="shared" si="67"/>
        <v>1.4300000000000002</v>
      </c>
      <c r="M540" s="111"/>
      <c r="N540" s="111"/>
      <c r="O540" s="111"/>
      <c r="P540" s="111"/>
    </row>
    <row r="541" spans="3:16" x14ac:dyDescent="0.3">
      <c r="C541" s="114"/>
      <c r="D541" s="233" t="s">
        <v>811</v>
      </c>
      <c r="E541" s="234" t="s">
        <v>0</v>
      </c>
      <c r="F541" s="235">
        <v>1</v>
      </c>
      <c r="G541" s="236">
        <f>0.1+0.2+0.2</f>
        <v>0.5</v>
      </c>
      <c r="H541" s="236"/>
      <c r="I541" s="236">
        <v>5.69</v>
      </c>
      <c r="J541" s="235">
        <v>1</v>
      </c>
      <c r="K541" s="237"/>
      <c r="L541" s="237">
        <f t="shared" si="67"/>
        <v>2.8450000000000002</v>
      </c>
      <c r="M541" s="111"/>
      <c r="N541" s="111"/>
      <c r="O541" s="111"/>
      <c r="P541" s="111"/>
    </row>
    <row r="542" spans="3:16" ht="14.4" x14ac:dyDescent="0.3">
      <c r="C542"/>
      <c r="D542" s="233" t="s">
        <v>812</v>
      </c>
      <c r="E542" s="234" t="s">
        <v>0</v>
      </c>
      <c r="F542" s="235">
        <v>1</v>
      </c>
      <c r="G542" s="236">
        <f>0.25+0.2</f>
        <v>0.45</v>
      </c>
      <c r="H542" s="236"/>
      <c r="I542" s="236">
        <v>3.7</v>
      </c>
      <c r="J542" s="235">
        <v>1</v>
      </c>
      <c r="K542" s="237"/>
      <c r="L542" s="237">
        <f t="shared" si="67"/>
        <v>1.665</v>
      </c>
      <c r="M542"/>
      <c r="N542"/>
      <c r="O542"/>
      <c r="P542"/>
    </row>
    <row r="543" spans="3:16" ht="14.4" x14ac:dyDescent="0.3">
      <c r="C543"/>
      <c r="D543" s="233" t="s">
        <v>813</v>
      </c>
      <c r="E543" s="234" t="s">
        <v>0</v>
      </c>
      <c r="F543" s="235">
        <v>1</v>
      </c>
      <c r="G543" s="236">
        <f>0.25+0.2+0.2</f>
        <v>0.65</v>
      </c>
      <c r="H543" s="236"/>
      <c r="I543" s="236">
        <v>2.5</v>
      </c>
      <c r="J543" s="235">
        <v>1</v>
      </c>
      <c r="K543" s="237"/>
      <c r="L543" s="237">
        <f t="shared" si="67"/>
        <v>1.625</v>
      </c>
      <c r="M543"/>
      <c r="N543"/>
      <c r="O543"/>
      <c r="P543"/>
    </row>
    <row r="544" spans="3:16" ht="14.4" x14ac:dyDescent="0.3">
      <c r="C544"/>
      <c r="D544" s="233" t="s">
        <v>814</v>
      </c>
      <c r="E544" s="234" t="s">
        <v>0</v>
      </c>
      <c r="F544" s="235">
        <v>1</v>
      </c>
      <c r="G544" s="236">
        <f>0.1+0.2</f>
        <v>0.30000000000000004</v>
      </c>
      <c r="H544" s="236"/>
      <c r="I544" s="236">
        <v>2.5</v>
      </c>
      <c r="J544" s="235">
        <v>1</v>
      </c>
      <c r="K544" s="237"/>
      <c r="L544" s="237">
        <f t="shared" si="67"/>
        <v>0.75000000000000011</v>
      </c>
      <c r="M544"/>
      <c r="N544"/>
      <c r="O544"/>
      <c r="P544"/>
    </row>
    <row r="545" spans="3:16" ht="14.4" x14ac:dyDescent="0.3">
      <c r="C545"/>
      <c r="D545" s="233" t="s">
        <v>815</v>
      </c>
      <c r="E545" s="234" t="s">
        <v>0</v>
      </c>
      <c r="F545" s="235">
        <v>1</v>
      </c>
      <c r="G545" s="236">
        <f>0.25+0.2</f>
        <v>0.45</v>
      </c>
      <c r="H545" s="236"/>
      <c r="I545" s="236">
        <v>2.2000000000000002</v>
      </c>
      <c r="J545" s="235">
        <v>1</v>
      </c>
      <c r="K545" s="237"/>
      <c r="L545" s="237">
        <f t="shared" si="67"/>
        <v>0.9900000000000001</v>
      </c>
      <c r="M545"/>
      <c r="N545"/>
      <c r="O545"/>
      <c r="P545"/>
    </row>
    <row r="546" spans="3:16" ht="14.4" x14ac:dyDescent="0.3">
      <c r="C546"/>
      <c r="D546" s="233" t="s">
        <v>816</v>
      </c>
      <c r="E546" s="234" t="s">
        <v>0</v>
      </c>
      <c r="F546" s="235">
        <v>1</v>
      </c>
      <c r="G546" s="236">
        <f>0.2</f>
        <v>0.2</v>
      </c>
      <c r="H546" s="236"/>
      <c r="I546" s="236">
        <v>1.66</v>
      </c>
      <c r="J546" s="235">
        <v>1</v>
      </c>
      <c r="K546" s="237"/>
      <c r="L546" s="237">
        <f t="shared" si="67"/>
        <v>0.33200000000000002</v>
      </c>
      <c r="M546"/>
      <c r="N546"/>
      <c r="O546"/>
      <c r="P546"/>
    </row>
    <row r="547" spans="3:16" ht="14.4" x14ac:dyDescent="0.3">
      <c r="C547"/>
      <c r="D547" s="233" t="s">
        <v>817</v>
      </c>
      <c r="E547" s="234" t="s">
        <v>0</v>
      </c>
      <c r="F547" s="235">
        <v>1</v>
      </c>
      <c r="G547" s="236">
        <v>0.2</v>
      </c>
      <c r="H547" s="236"/>
      <c r="I547" s="236">
        <v>1.63</v>
      </c>
      <c r="J547" s="235">
        <v>1</v>
      </c>
      <c r="K547" s="237"/>
      <c r="L547" s="237">
        <f t="shared" si="67"/>
        <v>0.32600000000000001</v>
      </c>
      <c r="M547"/>
      <c r="N547"/>
      <c r="O547"/>
      <c r="P547"/>
    </row>
    <row r="548" spans="3:16" ht="14.4" x14ac:dyDescent="0.3"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3:16" x14ac:dyDescent="0.3">
      <c r="C549" s="99" t="s">
        <v>1184</v>
      </c>
      <c r="D549" s="226" t="s">
        <v>653</v>
      </c>
      <c r="E549" s="132" t="s">
        <v>126</v>
      </c>
      <c r="F549" s="1"/>
      <c r="G549" s="2"/>
      <c r="H549" s="2"/>
      <c r="I549" s="206"/>
      <c r="J549" s="102"/>
      <c r="K549" s="103"/>
      <c r="L549" s="103"/>
      <c r="M549" s="103"/>
      <c r="N549" s="103"/>
      <c r="O549" s="103"/>
      <c r="P549" s="103">
        <f>SUM(K550:K610)</f>
        <v>466.41999999999996</v>
      </c>
    </row>
    <row r="550" spans="3:16" x14ac:dyDescent="0.3">
      <c r="C550" s="118"/>
      <c r="D550" s="253" t="s">
        <v>127</v>
      </c>
      <c r="E550" s="260"/>
      <c r="F550" s="255"/>
      <c r="G550" s="256"/>
      <c r="H550" s="256"/>
      <c r="I550" s="281"/>
      <c r="J550" s="277"/>
      <c r="K550" s="231"/>
      <c r="L550" s="113"/>
      <c r="M550" s="113"/>
      <c r="N550" s="113"/>
      <c r="O550" s="113"/>
      <c r="P550" s="113"/>
    </row>
    <row r="551" spans="3:16" x14ac:dyDescent="0.3">
      <c r="C551" s="118"/>
      <c r="D551" s="257" t="s">
        <v>266</v>
      </c>
      <c r="E551" s="260"/>
      <c r="F551" s="255"/>
      <c r="G551" s="256"/>
      <c r="H551" s="256"/>
      <c r="I551" s="281"/>
      <c r="J551" s="277"/>
      <c r="K551" s="231"/>
      <c r="L551" s="113"/>
      <c r="M551" s="113"/>
      <c r="N551" s="113"/>
      <c r="O551" s="113"/>
      <c r="P551" s="113"/>
    </row>
    <row r="552" spans="3:16" x14ac:dyDescent="0.3">
      <c r="C552" s="114"/>
      <c r="D552" s="258" t="s">
        <v>818</v>
      </c>
      <c r="E552" s="239" t="s">
        <v>0</v>
      </c>
      <c r="F552" s="235">
        <v>1</v>
      </c>
      <c r="G552" s="236"/>
      <c r="H552" s="236">
        <v>2.83</v>
      </c>
      <c r="I552" s="236">
        <v>0.85</v>
      </c>
      <c r="J552" s="242">
        <v>1</v>
      </c>
      <c r="K552" s="237">
        <f t="shared" ref="K552:K564" si="68">((H552+I552)*2)*F552*J552</f>
        <v>7.36</v>
      </c>
      <c r="L552" s="111"/>
      <c r="M552" s="111"/>
      <c r="N552" s="111"/>
      <c r="O552" s="111"/>
      <c r="P552" s="111"/>
    </row>
    <row r="553" spans="3:16" x14ac:dyDescent="0.3">
      <c r="C553" s="114"/>
      <c r="D553" s="258" t="s">
        <v>819</v>
      </c>
      <c r="E553" s="239" t="s">
        <v>0</v>
      </c>
      <c r="F553" s="235">
        <v>1</v>
      </c>
      <c r="G553" s="236"/>
      <c r="H553" s="236">
        <v>2.63</v>
      </c>
      <c r="I553" s="236">
        <v>1.58</v>
      </c>
      <c r="J553" s="242">
        <v>1</v>
      </c>
      <c r="K553" s="237">
        <f t="shared" si="68"/>
        <v>8.42</v>
      </c>
      <c r="L553" s="111"/>
      <c r="M553" s="111"/>
      <c r="N553" s="111"/>
      <c r="O553" s="111"/>
      <c r="P553" s="111"/>
    </row>
    <row r="554" spans="3:16" x14ac:dyDescent="0.3">
      <c r="C554" s="114"/>
      <c r="D554" s="258" t="s">
        <v>820</v>
      </c>
      <c r="E554" s="239" t="s">
        <v>0</v>
      </c>
      <c r="F554" s="235">
        <v>1</v>
      </c>
      <c r="G554" s="236"/>
      <c r="H554" s="236">
        <v>2.7</v>
      </c>
      <c r="I554" s="236">
        <v>0.85</v>
      </c>
      <c r="J554" s="242">
        <v>1</v>
      </c>
      <c r="K554" s="237">
        <f t="shared" si="68"/>
        <v>7.1000000000000005</v>
      </c>
      <c r="L554" s="111"/>
      <c r="M554" s="111"/>
      <c r="N554" s="111"/>
      <c r="O554" s="111"/>
      <c r="P554" s="111"/>
    </row>
    <row r="555" spans="3:16" x14ac:dyDescent="0.3">
      <c r="C555" s="114"/>
      <c r="D555" s="258" t="s">
        <v>821</v>
      </c>
      <c r="E555" s="239" t="s">
        <v>0</v>
      </c>
      <c r="F555" s="235">
        <v>1</v>
      </c>
      <c r="G555" s="236"/>
      <c r="H555" s="236">
        <v>1.25</v>
      </c>
      <c r="I555" s="236">
        <v>0.6</v>
      </c>
      <c r="J555" s="242">
        <v>1</v>
      </c>
      <c r="K555" s="237">
        <f>((H555+I555)*2)*F555*J555</f>
        <v>3.7</v>
      </c>
      <c r="L555" s="111"/>
      <c r="M555" s="111"/>
      <c r="N555" s="111"/>
      <c r="O555" s="111"/>
      <c r="P555" s="111"/>
    </row>
    <row r="556" spans="3:16" x14ac:dyDescent="0.3">
      <c r="C556" s="114"/>
      <c r="D556" s="258" t="s">
        <v>822</v>
      </c>
      <c r="E556" s="239" t="s">
        <v>0</v>
      </c>
      <c r="F556" s="235">
        <v>1</v>
      </c>
      <c r="G556" s="236"/>
      <c r="H556" s="282">
        <v>1.3</v>
      </c>
      <c r="I556" s="236">
        <v>0.6</v>
      </c>
      <c r="J556" s="242">
        <v>1</v>
      </c>
      <c r="K556" s="237">
        <f t="shared" si="68"/>
        <v>3.8</v>
      </c>
      <c r="L556" s="111"/>
      <c r="M556" s="111"/>
      <c r="N556" s="111"/>
      <c r="O556" s="111"/>
      <c r="P556" s="111"/>
    </row>
    <row r="557" spans="3:16" x14ac:dyDescent="0.3">
      <c r="C557" s="114"/>
      <c r="D557" s="258" t="s">
        <v>823</v>
      </c>
      <c r="E557" s="239" t="s">
        <v>0</v>
      </c>
      <c r="F557" s="235">
        <v>1</v>
      </c>
      <c r="G557" s="236"/>
      <c r="H557" s="236">
        <v>1.4</v>
      </c>
      <c r="I557" s="236">
        <v>1.58</v>
      </c>
      <c r="J557" s="242">
        <v>1</v>
      </c>
      <c r="K557" s="237">
        <f t="shared" si="68"/>
        <v>5.96</v>
      </c>
      <c r="L557" s="111"/>
      <c r="M557" s="111"/>
      <c r="N557" s="111"/>
      <c r="O557" s="111"/>
      <c r="P557" s="111"/>
    </row>
    <row r="558" spans="3:16" x14ac:dyDescent="0.3">
      <c r="C558" s="114"/>
      <c r="D558" s="258" t="s">
        <v>824</v>
      </c>
      <c r="E558" s="239" t="s">
        <v>0</v>
      </c>
      <c r="F558" s="235">
        <v>2</v>
      </c>
      <c r="G558" s="236"/>
      <c r="H558" s="236">
        <v>1.08</v>
      </c>
      <c r="I558" s="236">
        <v>0.85</v>
      </c>
      <c r="J558" s="242">
        <v>1</v>
      </c>
      <c r="K558" s="237">
        <f t="shared" si="68"/>
        <v>7.7200000000000006</v>
      </c>
      <c r="L558" s="111"/>
      <c r="M558" s="111"/>
      <c r="N558" s="111"/>
      <c r="O558" s="111"/>
      <c r="P558" s="111"/>
    </row>
    <row r="559" spans="3:16" x14ac:dyDescent="0.3">
      <c r="C559" s="114"/>
      <c r="D559" s="258" t="s">
        <v>825</v>
      </c>
      <c r="E559" s="239" t="s">
        <v>0</v>
      </c>
      <c r="F559" s="235">
        <v>1</v>
      </c>
      <c r="G559" s="236"/>
      <c r="H559" s="236">
        <v>1.33</v>
      </c>
      <c r="I559" s="236">
        <v>0.6</v>
      </c>
      <c r="J559" s="242">
        <v>1</v>
      </c>
      <c r="K559" s="237">
        <f t="shared" si="68"/>
        <v>3.8600000000000003</v>
      </c>
      <c r="L559" s="111"/>
      <c r="M559" s="111"/>
      <c r="N559" s="111"/>
      <c r="O559" s="111"/>
      <c r="P559" s="111"/>
    </row>
    <row r="560" spans="3:16" x14ac:dyDescent="0.3">
      <c r="C560" s="114"/>
      <c r="D560" s="258" t="s">
        <v>826</v>
      </c>
      <c r="E560" s="239" t="s">
        <v>0</v>
      </c>
      <c r="F560" s="235">
        <v>2</v>
      </c>
      <c r="G560" s="236"/>
      <c r="H560" s="236">
        <v>2.2999999999999998</v>
      </c>
      <c r="I560" s="236">
        <v>0.85</v>
      </c>
      <c r="J560" s="242">
        <v>1</v>
      </c>
      <c r="K560" s="237">
        <f t="shared" si="68"/>
        <v>12.6</v>
      </c>
      <c r="L560" s="111"/>
      <c r="M560" s="111"/>
      <c r="N560" s="111"/>
      <c r="O560" s="111"/>
      <c r="P560" s="111"/>
    </row>
    <row r="561" spans="3:16" x14ac:dyDescent="0.3">
      <c r="C561" s="114"/>
      <c r="D561" s="258" t="s">
        <v>827</v>
      </c>
      <c r="E561" s="239" t="s">
        <v>0</v>
      </c>
      <c r="F561" s="235">
        <v>4</v>
      </c>
      <c r="G561" s="236"/>
      <c r="H561" s="236">
        <v>2.2999999999999998</v>
      </c>
      <c r="I561" s="236">
        <v>1.58</v>
      </c>
      <c r="J561" s="242">
        <v>1</v>
      </c>
      <c r="K561" s="237">
        <f t="shared" si="68"/>
        <v>31.04</v>
      </c>
      <c r="L561" s="111"/>
      <c r="M561" s="111"/>
      <c r="N561" s="111"/>
      <c r="O561" s="111"/>
      <c r="P561" s="111"/>
    </row>
    <row r="562" spans="3:16" x14ac:dyDescent="0.3">
      <c r="C562" s="114"/>
      <c r="D562" s="258" t="s">
        <v>828</v>
      </c>
      <c r="E562" s="239" t="s">
        <v>0</v>
      </c>
      <c r="F562" s="235">
        <v>1</v>
      </c>
      <c r="G562" s="236"/>
      <c r="H562" s="236">
        <v>1.63</v>
      </c>
      <c r="I562" s="236">
        <v>0.85</v>
      </c>
      <c r="J562" s="242">
        <v>1</v>
      </c>
      <c r="K562" s="237">
        <f t="shared" si="68"/>
        <v>4.96</v>
      </c>
      <c r="L562" s="111"/>
      <c r="M562" s="111"/>
      <c r="N562" s="111"/>
      <c r="O562" s="111"/>
      <c r="P562" s="111"/>
    </row>
    <row r="563" spans="3:16" x14ac:dyDescent="0.3">
      <c r="C563" s="114"/>
      <c r="D563" s="258" t="s">
        <v>829</v>
      </c>
      <c r="E563" s="239" t="s">
        <v>0</v>
      </c>
      <c r="F563" s="235">
        <v>2</v>
      </c>
      <c r="G563" s="236"/>
      <c r="H563" s="236">
        <v>2.5</v>
      </c>
      <c r="I563" s="236">
        <v>0.6</v>
      </c>
      <c r="J563" s="242">
        <v>1</v>
      </c>
      <c r="K563" s="237">
        <f t="shared" si="68"/>
        <v>12.4</v>
      </c>
      <c r="L563" s="111"/>
      <c r="M563" s="111"/>
      <c r="N563" s="111"/>
      <c r="O563" s="111"/>
      <c r="P563" s="111"/>
    </row>
    <row r="564" spans="3:16" x14ac:dyDescent="0.3">
      <c r="C564" s="114"/>
      <c r="D564" s="258" t="s">
        <v>830</v>
      </c>
      <c r="E564" s="239" t="s">
        <v>0</v>
      </c>
      <c r="F564" s="235">
        <v>1</v>
      </c>
      <c r="G564" s="236"/>
      <c r="H564" s="236">
        <v>1.63</v>
      </c>
      <c r="I564" s="236">
        <v>1.58</v>
      </c>
      <c r="J564" s="242">
        <v>1</v>
      </c>
      <c r="K564" s="237">
        <f t="shared" si="68"/>
        <v>6.42</v>
      </c>
      <c r="L564" s="111"/>
      <c r="M564" s="111"/>
      <c r="N564" s="111"/>
      <c r="O564" s="111"/>
      <c r="P564" s="111"/>
    </row>
    <row r="565" spans="3:16" x14ac:dyDescent="0.3">
      <c r="C565" s="118"/>
      <c r="D565" s="257" t="s">
        <v>129</v>
      </c>
      <c r="E565" s="260"/>
      <c r="F565" s="255"/>
      <c r="G565" s="256"/>
      <c r="H565" s="256"/>
      <c r="I565" s="283"/>
      <c r="J565" s="277"/>
      <c r="K565" s="231"/>
      <c r="L565" s="113"/>
      <c r="M565" s="113"/>
      <c r="N565" s="113"/>
      <c r="O565" s="113"/>
      <c r="P565" s="113"/>
    </row>
    <row r="566" spans="3:16" x14ac:dyDescent="0.3">
      <c r="C566" s="152"/>
      <c r="D566" s="258" t="s">
        <v>831</v>
      </c>
      <c r="E566" s="239" t="s">
        <v>0</v>
      </c>
      <c r="F566" s="235">
        <v>3</v>
      </c>
      <c r="G566" s="236"/>
      <c r="H566" s="236">
        <v>1.2</v>
      </c>
      <c r="I566" s="236">
        <v>2.68</v>
      </c>
      <c r="J566" s="242">
        <v>1</v>
      </c>
      <c r="K566" s="237">
        <f t="shared" ref="K566:K572" si="69">((I566*2)+H566)*F566*J566</f>
        <v>19.68</v>
      </c>
      <c r="L566" s="113"/>
      <c r="M566" s="113"/>
      <c r="N566" s="113"/>
      <c r="O566" s="113"/>
      <c r="P566" s="113"/>
    </row>
    <row r="567" spans="3:16" x14ac:dyDescent="0.2">
      <c r="C567" s="284"/>
      <c r="D567" s="258" t="s">
        <v>832</v>
      </c>
      <c r="E567" s="239" t="s">
        <v>0</v>
      </c>
      <c r="F567" s="235">
        <v>3</v>
      </c>
      <c r="G567" s="236"/>
      <c r="H567" s="236">
        <v>1</v>
      </c>
      <c r="I567" s="236">
        <v>2.48</v>
      </c>
      <c r="J567" s="242">
        <v>1</v>
      </c>
      <c r="K567" s="237">
        <f t="shared" si="69"/>
        <v>17.88</v>
      </c>
      <c r="L567" s="113"/>
      <c r="M567" s="285"/>
      <c r="N567" s="285"/>
      <c r="O567" s="285"/>
      <c r="P567" s="285"/>
    </row>
    <row r="568" spans="3:16" x14ac:dyDescent="0.2">
      <c r="C568" s="284"/>
      <c r="D568" s="258" t="s">
        <v>833</v>
      </c>
      <c r="E568" s="239" t="s">
        <v>0</v>
      </c>
      <c r="F568" s="235">
        <v>1</v>
      </c>
      <c r="G568" s="236"/>
      <c r="H568" s="236">
        <v>1</v>
      </c>
      <c r="I568" s="236">
        <v>2.68</v>
      </c>
      <c r="J568" s="242">
        <v>1</v>
      </c>
      <c r="K568" s="237">
        <f t="shared" si="69"/>
        <v>6.36</v>
      </c>
      <c r="L568" s="113"/>
      <c r="M568" s="285"/>
      <c r="N568" s="285"/>
      <c r="O568" s="285"/>
      <c r="P568" s="285"/>
    </row>
    <row r="569" spans="3:16" x14ac:dyDescent="0.3">
      <c r="C569" s="99"/>
      <c r="D569" s="258" t="s">
        <v>834</v>
      </c>
      <c r="E569" s="239" t="s">
        <v>0</v>
      </c>
      <c r="F569" s="235">
        <v>1</v>
      </c>
      <c r="G569" s="236"/>
      <c r="H569" s="236">
        <v>0.7</v>
      </c>
      <c r="I569" s="236">
        <v>2.88</v>
      </c>
      <c r="J569" s="242">
        <v>1</v>
      </c>
      <c r="K569" s="237">
        <f t="shared" si="69"/>
        <v>6.46</v>
      </c>
      <c r="L569" s="113"/>
      <c r="M569" s="286"/>
      <c r="N569" s="286"/>
      <c r="O569" s="286"/>
      <c r="P569" s="103"/>
    </row>
    <row r="570" spans="3:16" x14ac:dyDescent="0.3">
      <c r="C570" s="99"/>
      <c r="D570" s="258" t="s">
        <v>835</v>
      </c>
      <c r="E570" s="239" t="s">
        <v>0</v>
      </c>
      <c r="F570" s="235">
        <v>1</v>
      </c>
      <c r="G570" s="236"/>
      <c r="H570" s="236">
        <v>0.7</v>
      </c>
      <c r="I570" s="236">
        <v>2.48</v>
      </c>
      <c r="J570" s="242">
        <v>1</v>
      </c>
      <c r="K570" s="237">
        <f t="shared" si="69"/>
        <v>5.66</v>
      </c>
      <c r="L570" s="113"/>
      <c r="M570" s="286"/>
      <c r="N570" s="286"/>
      <c r="O570" s="286"/>
      <c r="P570" s="103"/>
    </row>
    <row r="571" spans="3:16" x14ac:dyDescent="0.3">
      <c r="C571" s="99"/>
      <c r="D571" s="258" t="s">
        <v>836</v>
      </c>
      <c r="E571" s="234" t="s">
        <v>0</v>
      </c>
      <c r="F571" s="235">
        <v>1</v>
      </c>
      <c r="G571" s="236"/>
      <c r="H571" s="236">
        <v>1.2</v>
      </c>
      <c r="I571" s="236">
        <v>2.68</v>
      </c>
      <c r="J571" s="242">
        <v>1</v>
      </c>
      <c r="K571" s="237">
        <f t="shared" si="69"/>
        <v>6.5600000000000005</v>
      </c>
      <c r="L571" s="113"/>
      <c r="M571" s="286"/>
      <c r="N571" s="286"/>
      <c r="O571" s="286"/>
      <c r="P571" s="103"/>
    </row>
    <row r="572" spans="3:16" x14ac:dyDescent="0.3">
      <c r="C572" s="99"/>
      <c r="D572" s="258" t="s">
        <v>837</v>
      </c>
      <c r="E572" s="234" t="s">
        <v>0</v>
      </c>
      <c r="F572" s="235">
        <v>1</v>
      </c>
      <c r="G572" s="236"/>
      <c r="H572" s="236">
        <v>1.2</v>
      </c>
      <c r="I572" s="236">
        <v>2.48</v>
      </c>
      <c r="J572" s="242">
        <v>1</v>
      </c>
      <c r="K572" s="237">
        <f t="shared" si="69"/>
        <v>6.16</v>
      </c>
      <c r="L572" s="113"/>
      <c r="M572" s="286"/>
      <c r="N572" s="286"/>
      <c r="O572" s="286"/>
      <c r="P572" s="103"/>
    </row>
    <row r="573" spans="3:16" x14ac:dyDescent="0.3">
      <c r="C573" s="118"/>
      <c r="D573" s="253" t="s">
        <v>68</v>
      </c>
      <c r="E573" s="260"/>
      <c r="F573" s="255"/>
      <c r="G573" s="256"/>
      <c r="H573" s="256"/>
      <c r="I573" s="283"/>
      <c r="J573" s="277"/>
      <c r="K573" s="231"/>
      <c r="L573" s="113"/>
      <c r="M573" s="113"/>
      <c r="N573" s="113"/>
      <c r="O573" s="113"/>
      <c r="P573" s="113"/>
    </row>
    <row r="574" spans="3:16" x14ac:dyDescent="0.3">
      <c r="C574" s="118"/>
      <c r="D574" s="257" t="s">
        <v>266</v>
      </c>
      <c r="E574" s="260"/>
      <c r="F574" s="255"/>
      <c r="G574" s="256"/>
      <c r="H574" s="256"/>
      <c r="I574" s="283"/>
      <c r="J574" s="277"/>
      <c r="K574" s="231"/>
      <c r="L574" s="113"/>
      <c r="M574" s="113"/>
      <c r="N574" s="113"/>
      <c r="O574" s="113"/>
      <c r="P574" s="113"/>
    </row>
    <row r="575" spans="3:16" x14ac:dyDescent="0.3">
      <c r="C575" s="114"/>
      <c r="D575" s="258" t="s">
        <v>819</v>
      </c>
      <c r="E575" s="239" t="s">
        <v>0</v>
      </c>
      <c r="F575" s="235">
        <v>1</v>
      </c>
      <c r="G575" s="236"/>
      <c r="H575" s="236">
        <v>2.63</v>
      </c>
      <c r="I575" s="236">
        <v>1.58</v>
      </c>
      <c r="J575" s="242">
        <v>1</v>
      </c>
      <c r="K575" s="237">
        <f t="shared" ref="K575:K585" si="70">((H575+I575)*2)*F575*J575</f>
        <v>8.42</v>
      </c>
      <c r="L575" s="111"/>
      <c r="M575" s="111"/>
      <c r="N575" s="111"/>
      <c r="O575" s="111"/>
      <c r="P575" s="111"/>
    </row>
    <row r="576" spans="3:16" x14ac:dyDescent="0.3">
      <c r="C576" s="114"/>
      <c r="D576" s="258" t="s">
        <v>824</v>
      </c>
      <c r="E576" s="239" t="s">
        <v>0</v>
      </c>
      <c r="F576" s="235">
        <v>2</v>
      </c>
      <c r="G576" s="236"/>
      <c r="H576" s="236">
        <v>1.08</v>
      </c>
      <c r="I576" s="236">
        <v>0.85</v>
      </c>
      <c r="J576" s="242">
        <v>1</v>
      </c>
      <c r="K576" s="237">
        <f t="shared" si="70"/>
        <v>7.7200000000000006</v>
      </c>
      <c r="L576" s="111"/>
      <c r="M576" s="111"/>
      <c r="N576" s="111"/>
      <c r="O576" s="111"/>
      <c r="P576" s="111"/>
    </row>
    <row r="577" spans="3:16" x14ac:dyDescent="0.3">
      <c r="C577" s="114"/>
      <c r="D577" s="258" t="s">
        <v>826</v>
      </c>
      <c r="E577" s="239" t="s">
        <v>0</v>
      </c>
      <c r="F577" s="235">
        <v>2</v>
      </c>
      <c r="G577" s="236"/>
      <c r="H577" s="236">
        <v>2.2999999999999998</v>
      </c>
      <c r="I577" s="236">
        <v>0.85</v>
      </c>
      <c r="J577" s="242">
        <v>1</v>
      </c>
      <c r="K577" s="237">
        <f t="shared" si="70"/>
        <v>12.6</v>
      </c>
      <c r="L577" s="111"/>
      <c r="M577" s="111"/>
      <c r="N577" s="111"/>
      <c r="O577" s="111"/>
      <c r="P577" s="111"/>
    </row>
    <row r="578" spans="3:16" x14ac:dyDescent="0.3">
      <c r="C578" s="114"/>
      <c r="D578" s="258" t="s">
        <v>827</v>
      </c>
      <c r="E578" s="239" t="s">
        <v>0</v>
      </c>
      <c r="F578" s="235">
        <v>4</v>
      </c>
      <c r="G578" s="236"/>
      <c r="H578" s="282">
        <v>2.2999999999999998</v>
      </c>
      <c r="I578" s="236">
        <v>1.58</v>
      </c>
      <c r="J578" s="242">
        <v>1</v>
      </c>
      <c r="K578" s="237">
        <f t="shared" si="70"/>
        <v>31.04</v>
      </c>
      <c r="L578" s="111"/>
      <c r="M578" s="111"/>
      <c r="N578" s="111"/>
      <c r="O578" s="111"/>
      <c r="P578" s="111"/>
    </row>
    <row r="579" spans="3:16" x14ac:dyDescent="0.3">
      <c r="C579" s="114"/>
      <c r="D579" s="258" t="s">
        <v>828</v>
      </c>
      <c r="E579" s="239" t="s">
        <v>0</v>
      </c>
      <c r="F579" s="235">
        <v>1</v>
      </c>
      <c r="G579" s="236"/>
      <c r="H579" s="236">
        <v>1.63</v>
      </c>
      <c r="I579" s="236">
        <v>0.85</v>
      </c>
      <c r="J579" s="242">
        <v>1</v>
      </c>
      <c r="K579" s="237">
        <f t="shared" si="70"/>
        <v>4.96</v>
      </c>
      <c r="L579" s="111"/>
      <c r="M579" s="111"/>
      <c r="N579" s="111"/>
      <c r="O579" s="111"/>
      <c r="P579" s="111"/>
    </row>
    <row r="580" spans="3:16" x14ac:dyDescent="0.3">
      <c r="C580" s="114"/>
      <c r="D580" s="258" t="s">
        <v>830</v>
      </c>
      <c r="E580" s="239" t="s">
        <v>0</v>
      </c>
      <c r="F580" s="235">
        <v>1</v>
      </c>
      <c r="G580" s="236"/>
      <c r="H580" s="236">
        <v>1.63</v>
      </c>
      <c r="I580" s="236">
        <v>1.58</v>
      </c>
      <c r="J580" s="242">
        <v>1</v>
      </c>
      <c r="K580" s="237">
        <f t="shared" si="70"/>
        <v>6.42</v>
      </c>
      <c r="L580" s="111"/>
      <c r="M580" s="111"/>
      <c r="N580" s="111"/>
      <c r="O580" s="111"/>
      <c r="P580" s="111"/>
    </row>
    <row r="581" spans="3:16" x14ac:dyDescent="0.3">
      <c r="C581" s="114"/>
      <c r="D581" s="258" t="s">
        <v>838</v>
      </c>
      <c r="E581" s="239" t="s">
        <v>0</v>
      </c>
      <c r="F581" s="235">
        <v>1</v>
      </c>
      <c r="G581" s="236"/>
      <c r="H581" s="236">
        <v>2.7</v>
      </c>
      <c r="I581" s="236">
        <v>1.58</v>
      </c>
      <c r="J581" s="242">
        <v>1</v>
      </c>
      <c r="K581" s="237">
        <f t="shared" si="70"/>
        <v>8.56</v>
      </c>
      <c r="L581" s="111"/>
      <c r="M581" s="111"/>
      <c r="N581" s="111"/>
      <c r="O581" s="111"/>
      <c r="P581" s="111"/>
    </row>
    <row r="582" spans="3:16" x14ac:dyDescent="0.3">
      <c r="C582" s="114"/>
      <c r="D582" s="258" t="s">
        <v>839</v>
      </c>
      <c r="E582" s="239" t="s">
        <v>0</v>
      </c>
      <c r="F582" s="235">
        <v>1</v>
      </c>
      <c r="G582" s="236"/>
      <c r="H582" s="236">
        <v>1.63</v>
      </c>
      <c r="I582" s="236">
        <v>0.85</v>
      </c>
      <c r="J582" s="242">
        <v>1</v>
      </c>
      <c r="K582" s="237">
        <f t="shared" si="70"/>
        <v>4.96</v>
      </c>
      <c r="L582" s="111"/>
      <c r="M582" s="111"/>
      <c r="N582" s="111"/>
      <c r="O582" s="111"/>
      <c r="P582" s="111"/>
    </row>
    <row r="583" spans="3:16" x14ac:dyDescent="0.3">
      <c r="C583" s="114"/>
      <c r="D583" s="258" t="s">
        <v>840</v>
      </c>
      <c r="E583" s="239" t="s">
        <v>0</v>
      </c>
      <c r="F583" s="235">
        <v>1</v>
      </c>
      <c r="G583" s="236"/>
      <c r="H583" s="236">
        <v>3.25</v>
      </c>
      <c r="I583" s="236">
        <v>0.85</v>
      </c>
      <c r="J583" s="242">
        <v>1</v>
      </c>
      <c r="K583" s="237">
        <f t="shared" si="70"/>
        <v>8.1999999999999993</v>
      </c>
      <c r="L583" s="111"/>
      <c r="M583" s="111"/>
      <c r="N583" s="111"/>
      <c r="O583" s="111"/>
      <c r="P583" s="111"/>
    </row>
    <row r="584" spans="3:16" x14ac:dyDescent="0.3">
      <c r="C584" s="114"/>
      <c r="D584" s="258" t="s">
        <v>841</v>
      </c>
      <c r="E584" s="239" t="s">
        <v>0</v>
      </c>
      <c r="F584" s="235">
        <v>1</v>
      </c>
      <c r="G584" s="236"/>
      <c r="H584" s="236">
        <v>3.29</v>
      </c>
      <c r="I584" s="236">
        <v>0.6</v>
      </c>
      <c r="J584" s="242">
        <v>1</v>
      </c>
      <c r="K584" s="237">
        <f t="shared" si="70"/>
        <v>7.78</v>
      </c>
      <c r="L584" s="111"/>
      <c r="M584" s="111"/>
      <c r="N584" s="111"/>
      <c r="O584" s="111"/>
      <c r="P584" s="111"/>
    </row>
    <row r="585" spans="3:16" x14ac:dyDescent="0.3">
      <c r="C585" s="114"/>
      <c r="D585" s="258" t="s">
        <v>842</v>
      </c>
      <c r="E585" s="239" t="s">
        <v>0</v>
      </c>
      <c r="F585" s="235">
        <v>1</v>
      </c>
      <c r="G585" s="236"/>
      <c r="H585" s="236">
        <v>1.33</v>
      </c>
      <c r="I585" s="236">
        <v>0.85</v>
      </c>
      <c r="J585" s="242">
        <v>1</v>
      </c>
      <c r="K585" s="237">
        <f t="shared" si="70"/>
        <v>4.3600000000000003</v>
      </c>
      <c r="L585" s="111"/>
      <c r="M585" s="111"/>
      <c r="N585" s="111"/>
      <c r="O585" s="111"/>
      <c r="P585" s="111"/>
    </row>
    <row r="586" spans="3:16" x14ac:dyDescent="0.3">
      <c r="C586" s="118"/>
      <c r="D586" s="257" t="s">
        <v>129</v>
      </c>
      <c r="E586" s="260"/>
      <c r="F586" s="255"/>
      <c r="G586" s="256"/>
      <c r="H586" s="256"/>
      <c r="I586" s="281"/>
      <c r="J586" s="277"/>
      <c r="K586" s="231"/>
      <c r="L586" s="113"/>
      <c r="M586" s="113"/>
      <c r="N586" s="113"/>
      <c r="O586" s="113"/>
      <c r="P586" s="113"/>
    </row>
    <row r="587" spans="3:16" x14ac:dyDescent="0.2">
      <c r="C587" s="284"/>
      <c r="D587" s="258" t="s">
        <v>831</v>
      </c>
      <c r="E587" s="239" t="s">
        <v>0</v>
      </c>
      <c r="F587" s="235">
        <v>1</v>
      </c>
      <c r="G587" s="236"/>
      <c r="H587" s="236">
        <v>1.2</v>
      </c>
      <c r="I587" s="236">
        <v>2.68</v>
      </c>
      <c r="J587" s="242">
        <v>1</v>
      </c>
      <c r="K587" s="237">
        <f t="shared" ref="K587:K591" si="71">((I587*2)+H587)*F587*J587</f>
        <v>6.5600000000000005</v>
      </c>
      <c r="L587" s="113"/>
      <c r="M587" s="285"/>
      <c r="N587" s="285"/>
      <c r="O587" s="285"/>
      <c r="P587" s="285"/>
    </row>
    <row r="588" spans="3:16" x14ac:dyDescent="0.2">
      <c r="C588" s="284"/>
      <c r="D588" s="258" t="s">
        <v>833</v>
      </c>
      <c r="E588" s="239" t="s">
        <v>0</v>
      </c>
      <c r="F588" s="235">
        <v>2</v>
      </c>
      <c r="G588" s="236"/>
      <c r="H588" s="236">
        <v>1</v>
      </c>
      <c r="I588" s="236">
        <v>2.68</v>
      </c>
      <c r="J588" s="242">
        <v>1</v>
      </c>
      <c r="K588" s="237">
        <f t="shared" si="71"/>
        <v>12.72</v>
      </c>
      <c r="L588" s="113"/>
      <c r="M588" s="285"/>
      <c r="N588" s="285"/>
      <c r="O588" s="285"/>
      <c r="P588" s="285"/>
    </row>
    <row r="589" spans="3:16" x14ac:dyDescent="0.3">
      <c r="C589" s="152"/>
      <c r="D589" s="258" t="s">
        <v>834</v>
      </c>
      <c r="E589" s="239" t="s">
        <v>0</v>
      </c>
      <c r="F589" s="235">
        <v>1</v>
      </c>
      <c r="G589" s="236"/>
      <c r="H589" s="236">
        <v>0.7</v>
      </c>
      <c r="I589" s="236">
        <v>2.88</v>
      </c>
      <c r="J589" s="242">
        <v>1</v>
      </c>
      <c r="K589" s="237">
        <f t="shared" si="71"/>
        <v>6.46</v>
      </c>
      <c r="L589" s="113"/>
      <c r="M589" s="113"/>
      <c r="N589" s="113"/>
      <c r="O589" s="113"/>
      <c r="P589" s="113"/>
    </row>
    <row r="590" spans="3:16" x14ac:dyDescent="0.3">
      <c r="C590" s="152"/>
      <c r="D590" s="258" t="s">
        <v>843</v>
      </c>
      <c r="E590" s="239" t="s">
        <v>0</v>
      </c>
      <c r="F590" s="235">
        <v>1</v>
      </c>
      <c r="G590" s="236"/>
      <c r="H590" s="236">
        <v>1</v>
      </c>
      <c r="I590" s="236">
        <v>2.68</v>
      </c>
      <c r="J590" s="242">
        <v>1</v>
      </c>
      <c r="K590" s="237">
        <f t="shared" si="71"/>
        <v>6.36</v>
      </c>
      <c r="L590" s="113"/>
      <c r="M590" s="113"/>
      <c r="N590" s="113"/>
      <c r="O590" s="113"/>
      <c r="P590" s="113"/>
    </row>
    <row r="591" spans="3:16" x14ac:dyDescent="0.3">
      <c r="C591" s="152"/>
      <c r="D591" s="258" t="s">
        <v>836</v>
      </c>
      <c r="E591" s="234" t="s">
        <v>0</v>
      </c>
      <c r="F591" s="235">
        <v>1</v>
      </c>
      <c r="G591" s="236"/>
      <c r="H591" s="236">
        <v>1.2</v>
      </c>
      <c r="I591" s="236">
        <v>2.68</v>
      </c>
      <c r="J591" s="242">
        <v>1</v>
      </c>
      <c r="K591" s="237">
        <f t="shared" si="71"/>
        <v>6.5600000000000005</v>
      </c>
      <c r="L591" s="113"/>
      <c r="M591" s="113"/>
      <c r="N591" s="113"/>
      <c r="O591" s="113"/>
      <c r="P591" s="113"/>
    </row>
    <row r="592" spans="3:16" x14ac:dyDescent="0.3">
      <c r="C592" s="118"/>
      <c r="D592" s="253" t="s">
        <v>106</v>
      </c>
      <c r="E592" s="260"/>
      <c r="F592" s="255"/>
      <c r="G592" s="256"/>
      <c r="H592" s="256"/>
      <c r="I592" s="283"/>
      <c r="J592" s="277"/>
      <c r="K592" s="231"/>
      <c r="L592" s="113"/>
      <c r="M592" s="113"/>
      <c r="N592" s="113"/>
      <c r="O592" s="113"/>
      <c r="P592" s="113"/>
    </row>
    <row r="593" spans="3:16" x14ac:dyDescent="0.3">
      <c r="C593" s="118"/>
      <c r="D593" s="257" t="s">
        <v>266</v>
      </c>
      <c r="E593" s="260"/>
      <c r="F593" s="255"/>
      <c r="G593" s="256"/>
      <c r="H593" s="256"/>
      <c r="I593" s="283"/>
      <c r="J593" s="277"/>
      <c r="K593" s="231"/>
      <c r="L593" s="113"/>
      <c r="M593" s="113"/>
      <c r="N593" s="113"/>
      <c r="O593" s="113"/>
      <c r="P593" s="113"/>
    </row>
    <row r="594" spans="3:16" x14ac:dyDescent="0.3">
      <c r="C594" s="118"/>
      <c r="D594" s="258" t="s">
        <v>819</v>
      </c>
      <c r="E594" s="239" t="s">
        <v>0</v>
      </c>
      <c r="F594" s="235">
        <v>1</v>
      </c>
      <c r="G594" s="236"/>
      <c r="H594" s="236">
        <v>2.63</v>
      </c>
      <c r="I594" s="236">
        <v>1.56</v>
      </c>
      <c r="J594" s="242">
        <v>1</v>
      </c>
      <c r="K594" s="237">
        <f t="shared" ref="K594:K604" si="72">((H594+I594)*2)*F594*J594</f>
        <v>8.379999999999999</v>
      </c>
      <c r="L594" s="113"/>
      <c r="M594" s="113"/>
      <c r="N594" s="113"/>
      <c r="O594" s="113"/>
      <c r="P594" s="113"/>
    </row>
    <row r="595" spans="3:16" x14ac:dyDescent="0.3">
      <c r="C595" s="114"/>
      <c r="D595" s="258" t="s">
        <v>824</v>
      </c>
      <c r="E595" s="239" t="s">
        <v>0</v>
      </c>
      <c r="F595" s="235">
        <v>2</v>
      </c>
      <c r="G595" s="236"/>
      <c r="H595" s="236">
        <v>1.08</v>
      </c>
      <c r="I595" s="236">
        <v>0.85</v>
      </c>
      <c r="J595" s="242">
        <v>1</v>
      </c>
      <c r="K595" s="237">
        <f t="shared" si="72"/>
        <v>7.7200000000000006</v>
      </c>
      <c r="L595" s="111"/>
      <c r="M595" s="111"/>
      <c r="N595" s="111"/>
      <c r="O595" s="111"/>
      <c r="P595" s="111"/>
    </row>
    <row r="596" spans="3:16" x14ac:dyDescent="0.3">
      <c r="C596" s="114"/>
      <c r="D596" s="258" t="s">
        <v>826</v>
      </c>
      <c r="E596" s="239" t="s">
        <v>0</v>
      </c>
      <c r="F596" s="235">
        <v>2</v>
      </c>
      <c r="G596" s="236"/>
      <c r="H596" s="236">
        <v>2.2999999999999998</v>
      </c>
      <c r="I596" s="236">
        <v>0.85</v>
      </c>
      <c r="J596" s="242">
        <v>1</v>
      </c>
      <c r="K596" s="237">
        <f t="shared" si="72"/>
        <v>12.6</v>
      </c>
      <c r="L596" s="111"/>
      <c r="M596" s="111"/>
      <c r="N596" s="111"/>
      <c r="O596" s="111"/>
      <c r="P596" s="111"/>
    </row>
    <row r="597" spans="3:16" x14ac:dyDescent="0.3">
      <c r="C597" s="114"/>
      <c r="D597" s="258" t="s">
        <v>827</v>
      </c>
      <c r="E597" s="239" t="s">
        <v>0</v>
      </c>
      <c r="F597" s="235">
        <v>4</v>
      </c>
      <c r="G597" s="236"/>
      <c r="H597" s="282">
        <v>2.2999999999999998</v>
      </c>
      <c r="I597" s="236">
        <v>1.56</v>
      </c>
      <c r="J597" s="242">
        <v>1</v>
      </c>
      <c r="K597" s="237">
        <f t="shared" si="72"/>
        <v>30.88</v>
      </c>
      <c r="L597" s="111"/>
      <c r="M597" s="111"/>
      <c r="N597" s="111"/>
      <c r="O597" s="111"/>
      <c r="P597" s="111"/>
    </row>
    <row r="598" spans="3:16" x14ac:dyDescent="0.3">
      <c r="C598" s="114"/>
      <c r="D598" s="258" t="s">
        <v>828</v>
      </c>
      <c r="E598" s="239" t="s">
        <v>0</v>
      </c>
      <c r="F598" s="235">
        <v>1</v>
      </c>
      <c r="G598" s="236"/>
      <c r="H598" s="236">
        <v>1.63</v>
      </c>
      <c r="I598" s="236">
        <v>0.85</v>
      </c>
      <c r="J598" s="242">
        <v>1</v>
      </c>
      <c r="K598" s="237">
        <f t="shared" si="72"/>
        <v>4.96</v>
      </c>
      <c r="L598" s="111"/>
      <c r="M598" s="111"/>
      <c r="N598" s="111"/>
      <c r="O598" s="111"/>
      <c r="P598" s="111"/>
    </row>
    <row r="599" spans="3:16" x14ac:dyDescent="0.3">
      <c r="C599" s="114"/>
      <c r="D599" s="258" t="s">
        <v>830</v>
      </c>
      <c r="E599" s="239" t="s">
        <v>0</v>
      </c>
      <c r="F599" s="235">
        <v>1</v>
      </c>
      <c r="G599" s="236"/>
      <c r="H599" s="236">
        <v>1.63</v>
      </c>
      <c r="I599" s="236">
        <v>1.56</v>
      </c>
      <c r="J599" s="242">
        <v>1</v>
      </c>
      <c r="K599" s="237">
        <f t="shared" si="72"/>
        <v>6.38</v>
      </c>
      <c r="L599" s="111"/>
      <c r="M599" s="111"/>
      <c r="N599" s="111"/>
      <c r="O599" s="111"/>
      <c r="P599" s="111"/>
    </row>
    <row r="600" spans="3:16" x14ac:dyDescent="0.3">
      <c r="C600" s="114"/>
      <c r="D600" s="258" t="s">
        <v>838</v>
      </c>
      <c r="E600" s="239" t="s">
        <v>0</v>
      </c>
      <c r="F600" s="235">
        <v>1</v>
      </c>
      <c r="G600" s="236"/>
      <c r="H600" s="236">
        <v>2.7</v>
      </c>
      <c r="I600" s="236">
        <v>1.56</v>
      </c>
      <c r="J600" s="242">
        <v>1</v>
      </c>
      <c r="K600" s="237">
        <f t="shared" si="72"/>
        <v>8.52</v>
      </c>
      <c r="L600" s="111"/>
      <c r="M600" s="111"/>
      <c r="N600" s="111"/>
      <c r="O600" s="111"/>
      <c r="P600" s="111"/>
    </row>
    <row r="601" spans="3:16" x14ac:dyDescent="0.3">
      <c r="C601" s="114"/>
      <c r="D601" s="258" t="s">
        <v>841</v>
      </c>
      <c r="E601" s="239" t="s">
        <v>0</v>
      </c>
      <c r="F601" s="235">
        <v>1</v>
      </c>
      <c r="G601" s="236"/>
      <c r="H601" s="236">
        <v>3.29</v>
      </c>
      <c r="I601" s="236">
        <v>0.6</v>
      </c>
      <c r="J601" s="242">
        <v>1</v>
      </c>
      <c r="K601" s="237">
        <f t="shared" si="72"/>
        <v>7.78</v>
      </c>
      <c r="L601" s="111"/>
      <c r="M601" s="111"/>
      <c r="N601" s="111"/>
      <c r="O601" s="111"/>
      <c r="P601" s="111"/>
    </row>
    <row r="602" spans="3:16" x14ac:dyDescent="0.3">
      <c r="C602" s="114"/>
      <c r="D602" s="258" t="s">
        <v>842</v>
      </c>
      <c r="E602" s="239" t="s">
        <v>0</v>
      </c>
      <c r="F602" s="235">
        <v>1</v>
      </c>
      <c r="G602" s="236"/>
      <c r="H602" s="236">
        <v>1.33</v>
      </c>
      <c r="I602" s="236">
        <v>0.85</v>
      </c>
      <c r="J602" s="242">
        <v>1</v>
      </c>
      <c r="K602" s="237">
        <f t="shared" si="72"/>
        <v>4.3600000000000003</v>
      </c>
      <c r="L602" s="111"/>
      <c r="M602" s="111"/>
      <c r="N602" s="111"/>
      <c r="O602" s="111"/>
      <c r="P602" s="111"/>
    </row>
    <row r="603" spans="3:16" x14ac:dyDescent="0.3">
      <c r="C603" s="114"/>
      <c r="D603" s="258" t="s">
        <v>844</v>
      </c>
      <c r="E603" s="239" t="s">
        <v>0</v>
      </c>
      <c r="F603" s="235">
        <v>1</v>
      </c>
      <c r="G603" s="236"/>
      <c r="H603" s="236">
        <v>4.25</v>
      </c>
      <c r="I603" s="236">
        <v>0.85</v>
      </c>
      <c r="J603" s="242">
        <v>1</v>
      </c>
      <c r="K603" s="237">
        <f t="shared" si="72"/>
        <v>10.199999999999999</v>
      </c>
      <c r="L603" s="111"/>
      <c r="M603" s="111"/>
      <c r="N603" s="111"/>
      <c r="O603" s="111"/>
      <c r="P603" s="111"/>
    </row>
    <row r="604" spans="3:16" x14ac:dyDescent="0.3">
      <c r="C604" s="114"/>
      <c r="D604" s="258" t="s">
        <v>845</v>
      </c>
      <c r="E604" s="239" t="s">
        <v>0</v>
      </c>
      <c r="F604" s="235">
        <v>1</v>
      </c>
      <c r="G604" s="236"/>
      <c r="H604" s="236">
        <v>1.43</v>
      </c>
      <c r="I604" s="236">
        <v>0.85</v>
      </c>
      <c r="J604" s="242">
        <v>1</v>
      </c>
      <c r="K604" s="237">
        <f t="shared" si="72"/>
        <v>4.5599999999999996</v>
      </c>
      <c r="L604" s="111"/>
      <c r="M604" s="111"/>
      <c r="N604" s="111"/>
      <c r="O604" s="111"/>
      <c r="P604" s="111"/>
    </row>
    <row r="605" spans="3:16" x14ac:dyDescent="0.3">
      <c r="C605" s="118"/>
      <c r="D605" s="257" t="s">
        <v>129</v>
      </c>
      <c r="E605" s="260"/>
      <c r="F605" s="255"/>
      <c r="G605" s="256"/>
      <c r="H605" s="256"/>
      <c r="I605" s="283"/>
      <c r="J605" s="277"/>
      <c r="K605" s="231"/>
      <c r="L605" s="113"/>
      <c r="M605" s="113"/>
      <c r="N605" s="113"/>
      <c r="O605" s="113"/>
      <c r="P605" s="113"/>
    </row>
    <row r="606" spans="3:16" x14ac:dyDescent="0.2">
      <c r="C606" s="284"/>
      <c r="D606" s="258" t="s">
        <v>831</v>
      </c>
      <c r="E606" s="239" t="s">
        <v>0</v>
      </c>
      <c r="F606" s="235">
        <v>2</v>
      </c>
      <c r="G606" s="236"/>
      <c r="H606" s="236">
        <v>1.2</v>
      </c>
      <c r="I606" s="236">
        <v>2.66</v>
      </c>
      <c r="J606" s="242">
        <v>1</v>
      </c>
      <c r="K606" s="237">
        <f t="shared" ref="K606:K609" si="73">((I606*2)+H606)*F606*J606</f>
        <v>13.040000000000001</v>
      </c>
      <c r="L606" s="113"/>
      <c r="M606" s="285"/>
      <c r="N606" s="285"/>
      <c r="O606" s="285"/>
      <c r="P606" s="285"/>
    </row>
    <row r="607" spans="3:16" x14ac:dyDescent="0.3">
      <c r="C607" s="152"/>
      <c r="D607" s="258" t="s">
        <v>834</v>
      </c>
      <c r="E607" s="239" t="s">
        <v>0</v>
      </c>
      <c r="F607" s="235">
        <v>1</v>
      </c>
      <c r="G607" s="236"/>
      <c r="H607" s="236">
        <v>0.7</v>
      </c>
      <c r="I607" s="236">
        <v>2.86</v>
      </c>
      <c r="J607" s="242">
        <v>1</v>
      </c>
      <c r="K607" s="237">
        <f t="shared" si="73"/>
        <v>6.42</v>
      </c>
      <c r="L607" s="113"/>
      <c r="M607" s="113"/>
      <c r="N607" s="113"/>
      <c r="O607" s="113"/>
      <c r="P607" s="113"/>
    </row>
    <row r="608" spans="3:16" x14ac:dyDescent="0.3">
      <c r="C608" s="152"/>
      <c r="D608" s="258" t="s">
        <v>843</v>
      </c>
      <c r="E608" s="239" t="s">
        <v>0</v>
      </c>
      <c r="F608" s="235">
        <v>1</v>
      </c>
      <c r="G608" s="236"/>
      <c r="H608" s="236">
        <v>1</v>
      </c>
      <c r="I608" s="236">
        <v>2.66</v>
      </c>
      <c r="J608" s="242">
        <v>1</v>
      </c>
      <c r="K608" s="237">
        <f t="shared" si="73"/>
        <v>6.32</v>
      </c>
      <c r="L608" s="113"/>
      <c r="M608" s="113"/>
      <c r="N608" s="113"/>
      <c r="O608" s="113"/>
      <c r="P608" s="113"/>
    </row>
    <row r="609" spans="3:16" x14ac:dyDescent="0.3">
      <c r="C609" s="152"/>
      <c r="D609" s="258" t="s">
        <v>836</v>
      </c>
      <c r="E609" s="234" t="s">
        <v>0</v>
      </c>
      <c r="F609" s="235">
        <v>1</v>
      </c>
      <c r="G609" s="236"/>
      <c r="H609" s="236">
        <v>1.2</v>
      </c>
      <c r="I609" s="236">
        <v>2.66</v>
      </c>
      <c r="J609" s="242">
        <v>1</v>
      </c>
      <c r="K609" s="237">
        <f t="shared" si="73"/>
        <v>6.5200000000000005</v>
      </c>
      <c r="L609" s="113"/>
      <c r="M609" s="113"/>
      <c r="N609" s="113"/>
      <c r="O609" s="113"/>
      <c r="P609" s="113"/>
    </row>
    <row r="610" spans="3:16" ht="14.4" x14ac:dyDescent="0.3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3:16" ht="20.399999999999999" x14ac:dyDescent="0.3">
      <c r="C611" s="99" t="s">
        <v>1185</v>
      </c>
      <c r="D611" s="226" t="s">
        <v>846</v>
      </c>
      <c r="E611" s="101" t="s">
        <v>0</v>
      </c>
      <c r="F611" s="1"/>
      <c r="G611" s="2"/>
      <c r="H611" s="2"/>
      <c r="I611" s="2"/>
      <c r="J611" s="3"/>
      <c r="K611" s="103"/>
      <c r="L611" s="103"/>
      <c r="M611" s="103"/>
      <c r="N611" s="103"/>
      <c r="O611" s="103"/>
      <c r="P611" s="103">
        <f>SUM(L611:L633)</f>
        <v>303.39999999999998</v>
      </c>
    </row>
    <row r="612" spans="3:16" x14ac:dyDescent="0.3">
      <c r="C612" s="106"/>
      <c r="D612" s="227" t="s">
        <v>106</v>
      </c>
      <c r="E612" s="228"/>
      <c r="F612" s="229"/>
      <c r="G612" s="230"/>
      <c r="H612" s="230"/>
      <c r="I612" s="230"/>
      <c r="J612" s="229"/>
      <c r="K612" s="231"/>
      <c r="L612" s="231"/>
      <c r="M612" s="113"/>
      <c r="N612" s="113"/>
      <c r="O612" s="113"/>
      <c r="P612" s="113"/>
    </row>
    <row r="613" spans="3:16" x14ac:dyDescent="0.3">
      <c r="C613" s="114"/>
      <c r="D613" s="258" t="s">
        <v>518</v>
      </c>
      <c r="E613" s="234" t="s">
        <v>0</v>
      </c>
      <c r="F613" s="235">
        <v>1</v>
      </c>
      <c r="G613" s="236" t="s">
        <v>156</v>
      </c>
      <c r="H613" s="287">
        <v>8.33</v>
      </c>
      <c r="I613" s="236"/>
      <c r="J613" s="235">
        <v>1</v>
      </c>
      <c r="K613" s="237"/>
      <c r="L613" s="237">
        <f t="shared" ref="L613:L632" si="74">IF(F613="","",PRODUCT(F613:J613))</f>
        <v>8.33</v>
      </c>
      <c r="M613" s="111"/>
      <c r="N613" s="110"/>
      <c r="O613" s="111"/>
      <c r="P613" s="111"/>
    </row>
    <row r="614" spans="3:16" x14ac:dyDescent="0.3">
      <c r="C614" s="114"/>
      <c r="D614" s="258"/>
      <c r="E614" s="234" t="s">
        <v>0</v>
      </c>
      <c r="F614" s="235">
        <v>1</v>
      </c>
      <c r="G614" s="236" t="s">
        <v>156</v>
      </c>
      <c r="H614" s="287">
        <v>8.56</v>
      </c>
      <c r="I614" s="236"/>
      <c r="J614" s="235">
        <v>1</v>
      </c>
      <c r="K614" s="237"/>
      <c r="L614" s="237">
        <f t="shared" si="74"/>
        <v>8.56</v>
      </c>
      <c r="M614" s="111"/>
      <c r="N614" s="111"/>
      <c r="O614" s="111"/>
      <c r="P614" s="111"/>
    </row>
    <row r="615" spans="3:16" x14ac:dyDescent="0.3">
      <c r="C615" s="114"/>
      <c r="D615" s="258"/>
      <c r="E615" s="234" t="s">
        <v>0</v>
      </c>
      <c r="F615" s="235">
        <v>1</v>
      </c>
      <c r="G615" s="236" t="s">
        <v>156</v>
      </c>
      <c r="H615" s="287">
        <v>9.8000000000000007</v>
      </c>
      <c r="I615" s="236"/>
      <c r="J615" s="235">
        <v>1</v>
      </c>
      <c r="K615" s="237"/>
      <c r="L615" s="237">
        <f t="shared" si="74"/>
        <v>9.8000000000000007</v>
      </c>
      <c r="M615" s="111"/>
      <c r="N615" s="111"/>
      <c r="O615" s="111"/>
      <c r="P615" s="111"/>
    </row>
    <row r="616" spans="3:16" x14ac:dyDescent="0.3">
      <c r="C616" s="114"/>
      <c r="D616" s="258"/>
      <c r="E616" s="234" t="s">
        <v>0</v>
      </c>
      <c r="F616" s="235">
        <v>1</v>
      </c>
      <c r="G616" s="236" t="s">
        <v>156</v>
      </c>
      <c r="H616" s="287">
        <v>8.51</v>
      </c>
      <c r="I616" s="236"/>
      <c r="J616" s="235">
        <v>1</v>
      </c>
      <c r="K616" s="237"/>
      <c r="L616" s="237">
        <f t="shared" si="74"/>
        <v>8.51</v>
      </c>
      <c r="M616" s="111"/>
      <c r="N616" s="111"/>
      <c r="O616" s="111"/>
      <c r="P616" s="111"/>
    </row>
    <row r="617" spans="3:16" x14ac:dyDescent="0.3">
      <c r="C617" s="114"/>
      <c r="D617" s="258"/>
      <c r="E617" s="234" t="s">
        <v>0</v>
      </c>
      <c r="F617" s="235">
        <v>1</v>
      </c>
      <c r="G617" s="236" t="s">
        <v>156</v>
      </c>
      <c r="H617" s="287">
        <v>9.75</v>
      </c>
      <c r="I617" s="236"/>
      <c r="J617" s="235">
        <v>1</v>
      </c>
      <c r="K617" s="237"/>
      <c r="L617" s="237">
        <f t="shared" si="74"/>
        <v>9.75</v>
      </c>
      <c r="M617" s="111"/>
      <c r="N617" s="111"/>
      <c r="O617" s="111"/>
      <c r="P617" s="111"/>
    </row>
    <row r="618" spans="3:16" x14ac:dyDescent="0.3">
      <c r="C618" s="114"/>
      <c r="D618" s="258"/>
      <c r="E618" s="234" t="s">
        <v>0</v>
      </c>
      <c r="F618" s="235">
        <v>1</v>
      </c>
      <c r="G618" s="236" t="s">
        <v>156</v>
      </c>
      <c r="H618" s="287">
        <v>8.57</v>
      </c>
      <c r="I618" s="236"/>
      <c r="J618" s="235">
        <v>1</v>
      </c>
      <c r="K618" s="237"/>
      <c r="L618" s="237">
        <f t="shared" si="74"/>
        <v>8.57</v>
      </c>
      <c r="M618" s="111"/>
      <c r="N618" s="111"/>
      <c r="O618" s="111"/>
      <c r="P618" s="111"/>
    </row>
    <row r="619" spans="3:16" x14ac:dyDescent="0.3">
      <c r="C619" s="114"/>
      <c r="D619" s="258"/>
      <c r="E619" s="234" t="s">
        <v>0</v>
      </c>
      <c r="F619" s="235">
        <v>1</v>
      </c>
      <c r="G619" s="236" t="s">
        <v>156</v>
      </c>
      <c r="H619" s="287">
        <v>9.7799999999999994</v>
      </c>
      <c r="I619" s="236"/>
      <c r="J619" s="235">
        <v>1</v>
      </c>
      <c r="K619" s="237"/>
      <c r="L619" s="237">
        <f t="shared" si="74"/>
        <v>9.7799999999999994</v>
      </c>
      <c r="M619" s="111"/>
      <c r="N619" s="111"/>
      <c r="O619" s="111"/>
      <c r="P619" s="111"/>
    </row>
    <row r="620" spans="3:16" x14ac:dyDescent="0.3">
      <c r="C620" s="114"/>
      <c r="D620" s="258"/>
      <c r="E620" s="234" t="s">
        <v>0</v>
      </c>
      <c r="F620" s="235">
        <v>1</v>
      </c>
      <c r="G620" s="236" t="s">
        <v>156</v>
      </c>
      <c r="H620" s="287">
        <v>12.25</v>
      </c>
      <c r="I620" s="236"/>
      <c r="J620" s="235">
        <v>1</v>
      </c>
      <c r="K620" s="237"/>
      <c r="L620" s="237">
        <f t="shared" si="74"/>
        <v>12.25</v>
      </c>
      <c r="M620" s="111"/>
      <c r="N620" s="111"/>
      <c r="O620" s="111"/>
      <c r="P620" s="111"/>
    </row>
    <row r="621" spans="3:16" x14ac:dyDescent="0.3">
      <c r="C621" s="114"/>
      <c r="D621" s="258"/>
      <c r="E621" s="234" t="s">
        <v>0</v>
      </c>
      <c r="F621" s="235">
        <v>1</v>
      </c>
      <c r="G621" s="236" t="s">
        <v>156</v>
      </c>
      <c r="H621" s="287">
        <v>8.61</v>
      </c>
      <c r="I621" s="236"/>
      <c r="J621" s="235">
        <v>1</v>
      </c>
      <c r="K621" s="237"/>
      <c r="L621" s="237">
        <f t="shared" si="74"/>
        <v>8.61</v>
      </c>
      <c r="M621" s="111"/>
      <c r="N621" s="111"/>
      <c r="O621" s="111"/>
      <c r="P621" s="111"/>
    </row>
    <row r="622" spans="3:16" x14ac:dyDescent="0.3">
      <c r="C622" s="114"/>
      <c r="D622" s="258" t="s">
        <v>194</v>
      </c>
      <c r="E622" s="234" t="s">
        <v>0</v>
      </c>
      <c r="F622" s="235">
        <v>1</v>
      </c>
      <c r="G622" s="236" t="s">
        <v>156</v>
      </c>
      <c r="H622" s="287">
        <v>17.96</v>
      </c>
      <c r="I622" s="236"/>
      <c r="J622" s="235">
        <v>1</v>
      </c>
      <c r="K622" s="237"/>
      <c r="L622" s="237">
        <f t="shared" si="74"/>
        <v>17.96</v>
      </c>
      <c r="M622" s="111"/>
      <c r="N622" s="111"/>
      <c r="O622" s="111"/>
      <c r="P622" s="111"/>
    </row>
    <row r="623" spans="3:16" x14ac:dyDescent="0.3">
      <c r="C623" s="114"/>
      <c r="D623" s="258" t="s">
        <v>847</v>
      </c>
      <c r="E623" s="234" t="s">
        <v>0</v>
      </c>
      <c r="F623" s="235">
        <v>1</v>
      </c>
      <c r="G623" s="236" t="s">
        <v>156</v>
      </c>
      <c r="H623" s="287">
        <v>3.34</v>
      </c>
      <c r="I623" s="236"/>
      <c r="J623" s="235">
        <v>1</v>
      </c>
      <c r="K623" s="237"/>
      <c r="L623" s="237">
        <f t="shared" si="74"/>
        <v>3.34</v>
      </c>
      <c r="M623" s="111"/>
      <c r="N623" s="111"/>
      <c r="O623" s="111"/>
      <c r="P623" s="111"/>
    </row>
    <row r="624" spans="3:16" x14ac:dyDescent="0.3">
      <c r="C624" s="114"/>
      <c r="D624" s="258" t="s">
        <v>848</v>
      </c>
      <c r="E624" s="234" t="s">
        <v>0</v>
      </c>
      <c r="F624" s="235">
        <v>1</v>
      </c>
      <c r="G624" s="236" t="s">
        <v>156</v>
      </c>
      <c r="H624" s="287">
        <v>22.44</v>
      </c>
      <c r="I624" s="236"/>
      <c r="J624" s="235">
        <v>1</v>
      </c>
      <c r="K624" s="237"/>
      <c r="L624" s="237">
        <f t="shared" si="74"/>
        <v>22.44</v>
      </c>
      <c r="M624" s="111"/>
      <c r="N624" s="111"/>
      <c r="O624" s="111"/>
      <c r="P624" s="111"/>
    </row>
    <row r="625" spans="3:16" x14ac:dyDescent="0.3">
      <c r="C625" s="114"/>
      <c r="D625" s="258"/>
      <c r="E625" s="234" t="s">
        <v>0</v>
      </c>
      <c r="F625" s="235">
        <v>1</v>
      </c>
      <c r="G625" s="236" t="s">
        <v>156</v>
      </c>
      <c r="H625" s="287">
        <v>25.69</v>
      </c>
      <c r="I625" s="236"/>
      <c r="J625" s="235">
        <v>1</v>
      </c>
      <c r="K625" s="237"/>
      <c r="L625" s="237">
        <f t="shared" si="74"/>
        <v>25.69</v>
      </c>
      <c r="M625" s="111"/>
      <c r="N625" s="111"/>
      <c r="O625" s="111"/>
      <c r="P625" s="111"/>
    </row>
    <row r="626" spans="3:16" x14ac:dyDescent="0.3">
      <c r="C626" s="114"/>
      <c r="D626" s="258"/>
      <c r="E626" s="234" t="s">
        <v>0</v>
      </c>
      <c r="F626" s="235">
        <v>1</v>
      </c>
      <c r="G626" s="236" t="s">
        <v>156</v>
      </c>
      <c r="H626" s="287">
        <v>22.31</v>
      </c>
      <c r="I626" s="236"/>
      <c r="J626" s="235">
        <v>1</v>
      </c>
      <c r="K626" s="237"/>
      <c r="L626" s="237">
        <f t="shared" si="74"/>
        <v>22.31</v>
      </c>
      <c r="M626" s="111"/>
      <c r="N626" s="111"/>
      <c r="O626" s="111"/>
      <c r="P626" s="111"/>
    </row>
    <row r="627" spans="3:16" x14ac:dyDescent="0.3">
      <c r="C627" s="114"/>
      <c r="D627" s="258" t="s">
        <v>849</v>
      </c>
      <c r="E627" s="234" t="s">
        <v>0</v>
      </c>
      <c r="F627" s="235">
        <v>1</v>
      </c>
      <c r="G627" s="236" t="s">
        <v>156</v>
      </c>
      <c r="H627" s="287">
        <v>16.93</v>
      </c>
      <c r="I627" s="236"/>
      <c r="J627" s="235">
        <v>1</v>
      </c>
      <c r="K627" s="237"/>
      <c r="L627" s="237">
        <f t="shared" si="74"/>
        <v>16.93</v>
      </c>
      <c r="M627" s="111"/>
      <c r="N627" s="111"/>
      <c r="O627" s="111"/>
      <c r="P627" s="111"/>
    </row>
    <row r="628" spans="3:16" x14ac:dyDescent="0.3">
      <c r="C628" s="114"/>
      <c r="D628" s="258" t="s">
        <v>850</v>
      </c>
      <c r="E628" s="234" t="s">
        <v>0</v>
      </c>
      <c r="F628" s="235">
        <v>1</v>
      </c>
      <c r="G628" s="236" t="s">
        <v>156</v>
      </c>
      <c r="H628" s="287">
        <v>7.75</v>
      </c>
      <c r="I628" s="236"/>
      <c r="J628" s="235">
        <v>1</v>
      </c>
      <c r="K628" s="237"/>
      <c r="L628" s="237">
        <f t="shared" si="74"/>
        <v>7.75</v>
      </c>
      <c r="M628" s="111"/>
      <c r="N628" s="111"/>
      <c r="O628" s="111"/>
      <c r="P628" s="111"/>
    </row>
    <row r="629" spans="3:16" x14ac:dyDescent="0.3">
      <c r="C629" s="114"/>
      <c r="D629" s="258"/>
      <c r="E629" s="234" t="s">
        <v>0</v>
      </c>
      <c r="F629" s="235">
        <v>1</v>
      </c>
      <c r="G629" s="236" t="s">
        <v>156</v>
      </c>
      <c r="H629" s="287">
        <v>22.47</v>
      </c>
      <c r="I629" s="236"/>
      <c r="J629" s="235">
        <v>1</v>
      </c>
      <c r="K629" s="237"/>
      <c r="L629" s="237">
        <f t="shared" si="74"/>
        <v>22.47</v>
      </c>
      <c r="M629" s="111"/>
      <c r="N629" s="111"/>
      <c r="O629" s="111"/>
      <c r="P629" s="111"/>
    </row>
    <row r="630" spans="3:16" x14ac:dyDescent="0.3">
      <c r="C630" s="114"/>
      <c r="D630" s="258"/>
      <c r="E630" s="234" t="s">
        <v>0</v>
      </c>
      <c r="F630" s="235">
        <v>1</v>
      </c>
      <c r="G630" s="236" t="s">
        <v>156</v>
      </c>
      <c r="H630" s="287">
        <v>25.64</v>
      </c>
      <c r="I630" s="236"/>
      <c r="J630" s="235">
        <v>1</v>
      </c>
      <c r="K630" s="237"/>
      <c r="L630" s="237">
        <f t="shared" si="74"/>
        <v>25.64</v>
      </c>
      <c r="M630" s="111"/>
      <c r="N630" s="111"/>
      <c r="O630" s="111"/>
      <c r="P630" s="111"/>
    </row>
    <row r="631" spans="3:16" x14ac:dyDescent="0.3">
      <c r="C631" s="114"/>
      <c r="D631" s="258" t="s">
        <v>190</v>
      </c>
      <c r="E631" s="234" t="s">
        <v>0</v>
      </c>
      <c r="F631" s="235">
        <v>1</v>
      </c>
      <c r="G631" s="236" t="s">
        <v>156</v>
      </c>
      <c r="H631" s="236">
        <v>32.130000000000003</v>
      </c>
      <c r="I631" s="236"/>
      <c r="J631" s="235">
        <v>1</v>
      </c>
      <c r="K631" s="237"/>
      <c r="L631" s="237">
        <f t="shared" si="74"/>
        <v>32.130000000000003</v>
      </c>
      <c r="M631" s="111"/>
      <c r="N631" s="111"/>
      <c r="O631" s="111"/>
      <c r="P631" s="111"/>
    </row>
    <row r="632" spans="3:16" x14ac:dyDescent="0.3">
      <c r="C632" s="114"/>
      <c r="D632" s="258"/>
      <c r="E632" s="234" t="s">
        <v>0</v>
      </c>
      <c r="F632" s="235">
        <v>1</v>
      </c>
      <c r="G632" s="236" t="s">
        <v>156</v>
      </c>
      <c r="H632" s="236">
        <v>22.58</v>
      </c>
      <c r="I632" s="236"/>
      <c r="J632" s="235">
        <v>1</v>
      </c>
      <c r="K632" s="237"/>
      <c r="L632" s="237">
        <f t="shared" si="74"/>
        <v>22.58</v>
      </c>
      <c r="M632" s="111"/>
      <c r="N632" s="111"/>
      <c r="O632" s="111"/>
      <c r="P632" s="111"/>
    </row>
  </sheetData>
  <mergeCells count="10">
    <mergeCell ref="C2:P2"/>
    <mergeCell ref="D5:P6"/>
    <mergeCell ref="C13:C14"/>
    <mergeCell ref="D13:D14"/>
    <mergeCell ref="E13:E14"/>
    <mergeCell ref="F13:F14"/>
    <mergeCell ref="G13:I13"/>
    <mergeCell ref="J13:J14"/>
    <mergeCell ref="K13:O13"/>
    <mergeCell ref="P13:P14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964C-0052-48A1-8C33-2B119F8AF3C0}">
  <dimension ref="A1:V550"/>
  <sheetViews>
    <sheetView view="pageBreakPreview" topLeftCell="B520" zoomScale="115" zoomScaleNormal="115" zoomScaleSheetLayoutView="115" workbookViewId="0">
      <selection activeCell="C79" sqref="C79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2" s="17" customFormat="1" ht="6" thickBot="1" x14ac:dyDescent="0.35">
      <c r="D1" s="18"/>
      <c r="E1" s="19"/>
      <c r="F1" s="19"/>
      <c r="G1" s="20"/>
      <c r="H1" s="20"/>
      <c r="I1" s="20"/>
      <c r="J1" s="21"/>
      <c r="K1" s="22"/>
      <c r="L1" s="22"/>
      <c r="M1" s="20"/>
      <c r="N1" s="20"/>
      <c r="P1" s="23"/>
      <c r="S1" s="24"/>
      <c r="T1" s="25"/>
      <c r="U1" s="25"/>
      <c r="V1" s="25"/>
    </row>
    <row r="2" spans="1:22" ht="23.25" customHeight="1" thickBot="1" x14ac:dyDescent="0.35">
      <c r="C2" s="417" t="s">
        <v>1123</v>
      </c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9"/>
      <c r="S2" s="15"/>
      <c r="T2" s="16"/>
      <c r="U2" s="16"/>
      <c r="V2" s="16"/>
    </row>
    <row r="3" spans="1:22" s="17" customFormat="1" ht="6" thickBot="1" x14ac:dyDescent="0.35">
      <c r="C3" s="23"/>
      <c r="D3" s="26"/>
      <c r="E3" s="19"/>
      <c r="F3" s="19"/>
      <c r="G3" s="27"/>
      <c r="H3" s="27"/>
      <c r="I3" s="27"/>
      <c r="J3" s="19"/>
      <c r="K3" s="28"/>
      <c r="L3" s="28"/>
      <c r="M3" s="27"/>
      <c r="N3" s="27"/>
      <c r="O3" s="19"/>
      <c r="P3" s="29"/>
      <c r="S3" s="24"/>
      <c r="T3" s="25"/>
      <c r="U3" s="25"/>
      <c r="V3" s="25"/>
    </row>
    <row r="4" spans="1:22" s="17" customFormat="1" ht="5.4" x14ac:dyDescent="0.3">
      <c r="C4" s="30"/>
      <c r="D4" s="31"/>
      <c r="E4" s="32"/>
      <c r="F4" s="32"/>
      <c r="G4" s="33"/>
      <c r="H4" s="33"/>
      <c r="I4" s="33"/>
      <c r="J4" s="34"/>
      <c r="K4" s="35"/>
      <c r="L4" s="35"/>
      <c r="M4" s="33"/>
      <c r="N4" s="33"/>
      <c r="O4" s="36"/>
      <c r="P4" s="37"/>
      <c r="S4" s="24"/>
      <c r="T4" s="25"/>
      <c r="U4" s="25"/>
      <c r="V4" s="25"/>
    </row>
    <row r="5" spans="1:22" ht="12.75" customHeight="1" x14ac:dyDescent="0.3">
      <c r="C5" s="38" t="s">
        <v>2</v>
      </c>
      <c r="D5" s="420" t="s">
        <v>3</v>
      </c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1"/>
      <c r="S5" s="15"/>
      <c r="T5" s="16"/>
      <c r="U5" s="16"/>
      <c r="V5" s="16"/>
    </row>
    <row r="6" spans="1:22" ht="14.25" customHeight="1" x14ac:dyDescent="0.3">
      <c r="C6" s="38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</row>
    <row r="7" spans="1:22" x14ac:dyDescent="0.3">
      <c r="C7" s="38" t="s">
        <v>4</v>
      </c>
      <c r="D7" s="39" t="s">
        <v>5</v>
      </c>
      <c r="E7" s="40"/>
      <c r="F7" s="40"/>
      <c r="G7" s="41"/>
      <c r="H7" s="41"/>
      <c r="I7" s="42"/>
      <c r="J7" s="40"/>
      <c r="K7" s="43"/>
      <c r="L7" s="41" t="s">
        <v>6</v>
      </c>
      <c r="M7" s="44" t="s">
        <v>7</v>
      </c>
      <c r="N7" s="42"/>
      <c r="O7" s="39"/>
      <c r="P7" s="45"/>
    </row>
    <row r="8" spans="1:22" x14ac:dyDescent="0.3">
      <c r="C8" s="38" t="s">
        <v>8</v>
      </c>
      <c r="D8" s="46">
        <v>44608</v>
      </c>
      <c r="E8" s="47"/>
      <c r="F8" s="47"/>
      <c r="G8" s="41"/>
      <c r="H8" s="41"/>
      <c r="I8" s="48"/>
      <c r="J8" s="49"/>
      <c r="K8" s="48"/>
      <c r="L8" s="41" t="s">
        <v>9</v>
      </c>
      <c r="M8" s="44"/>
      <c r="N8" s="50"/>
      <c r="O8" s="51"/>
      <c r="P8" s="45"/>
    </row>
    <row r="9" spans="1:22" x14ac:dyDescent="0.3">
      <c r="C9" s="38" t="s">
        <v>10</v>
      </c>
      <c r="D9" s="52" t="s">
        <v>11</v>
      </c>
      <c r="E9" s="40"/>
      <c r="F9" s="40"/>
      <c r="G9" s="43"/>
      <c r="H9" s="43"/>
      <c r="I9" s="43"/>
      <c r="J9" s="40"/>
      <c r="K9" s="43"/>
      <c r="L9" s="50"/>
      <c r="M9" s="50"/>
      <c r="N9" s="50"/>
      <c r="O9" s="51"/>
      <c r="P9" s="45"/>
    </row>
    <row r="10" spans="1:22" x14ac:dyDescent="0.3">
      <c r="C10" s="38" t="s">
        <v>12</v>
      </c>
      <c r="D10" s="39" t="s">
        <v>1125</v>
      </c>
      <c r="E10" s="40"/>
      <c r="F10" s="40"/>
      <c r="G10" s="43"/>
      <c r="H10" s="43"/>
      <c r="I10" s="43"/>
      <c r="J10" s="40"/>
      <c r="K10" s="43"/>
      <c r="L10" s="50"/>
      <c r="M10" s="50"/>
      <c r="N10" s="53"/>
      <c r="O10" s="47"/>
      <c r="P10" s="45"/>
    </row>
    <row r="11" spans="1:22" s="17" customFormat="1" ht="6" thickBot="1" x14ac:dyDescent="0.35">
      <c r="C11" s="54"/>
      <c r="D11" s="55"/>
      <c r="E11" s="56"/>
      <c r="F11" s="56"/>
      <c r="G11" s="57"/>
      <c r="H11" s="58"/>
      <c r="I11" s="59"/>
      <c r="J11" s="60"/>
      <c r="K11" s="61"/>
      <c r="L11" s="61"/>
      <c r="M11" s="59"/>
      <c r="N11" s="59"/>
      <c r="O11" s="62"/>
      <c r="P11" s="63"/>
    </row>
    <row r="12" spans="1:22" s="17" customFormat="1" ht="6" thickBot="1" x14ac:dyDescent="0.35">
      <c r="C12" s="23"/>
      <c r="D12" s="26"/>
      <c r="E12" s="19"/>
      <c r="F12" s="19"/>
      <c r="G12" s="20"/>
      <c r="H12" s="20"/>
      <c r="I12" s="20"/>
      <c r="J12" s="18"/>
      <c r="K12" s="64"/>
      <c r="L12" s="64"/>
      <c r="M12" s="20"/>
      <c r="N12" s="20"/>
      <c r="P12" s="29"/>
    </row>
    <row r="13" spans="1:22" ht="15" customHeight="1" x14ac:dyDescent="0.3">
      <c r="C13" s="422" t="s">
        <v>13</v>
      </c>
      <c r="D13" s="424" t="s">
        <v>14</v>
      </c>
      <c r="E13" s="426" t="s">
        <v>15</v>
      </c>
      <c r="F13" s="428" t="s">
        <v>16</v>
      </c>
      <c r="G13" s="430" t="s">
        <v>17</v>
      </c>
      <c r="H13" s="430"/>
      <c r="I13" s="430"/>
      <c r="J13" s="428" t="s">
        <v>18</v>
      </c>
      <c r="K13" s="424" t="s">
        <v>19</v>
      </c>
      <c r="L13" s="424"/>
      <c r="M13" s="424"/>
      <c r="N13" s="424"/>
      <c r="O13" s="424"/>
      <c r="P13" s="431" t="s">
        <v>20</v>
      </c>
    </row>
    <row r="14" spans="1:22" ht="14.25" customHeight="1" thickBot="1" x14ac:dyDescent="0.25">
      <c r="A14" s="65" t="s">
        <v>21</v>
      </c>
      <c r="C14" s="423"/>
      <c r="D14" s="425"/>
      <c r="E14" s="427"/>
      <c r="F14" s="429"/>
      <c r="G14" s="66" t="s">
        <v>22</v>
      </c>
      <c r="H14" s="66" t="s">
        <v>23</v>
      </c>
      <c r="I14" s="66" t="s">
        <v>24</v>
      </c>
      <c r="J14" s="429"/>
      <c r="K14" s="66" t="s">
        <v>25</v>
      </c>
      <c r="L14" s="66" t="s">
        <v>26</v>
      </c>
      <c r="M14" s="66" t="s">
        <v>27</v>
      </c>
      <c r="N14" s="66" t="s">
        <v>28</v>
      </c>
      <c r="O14" s="126" t="s">
        <v>29</v>
      </c>
      <c r="P14" s="432"/>
    </row>
    <row r="15" spans="1:22" s="17" customFormat="1" ht="10.199999999999999" customHeight="1" x14ac:dyDescent="0.3">
      <c r="C15" s="68"/>
      <c r="D15" s="69"/>
      <c r="E15" s="70"/>
      <c r="F15" s="70"/>
      <c r="G15" s="71"/>
      <c r="H15" s="71"/>
      <c r="I15" s="71"/>
      <c r="J15" s="72"/>
      <c r="K15" s="73"/>
      <c r="L15" s="73"/>
      <c r="M15" s="71"/>
      <c r="N15" s="71"/>
      <c r="O15" s="72"/>
      <c r="P15" s="74"/>
    </row>
    <row r="16" spans="1:22" s="83" customFormat="1" ht="13.2" x14ac:dyDescent="0.3">
      <c r="A16" s="75"/>
      <c r="B16" s="76"/>
      <c r="C16" s="77"/>
      <c r="D16" s="78" t="s">
        <v>851</v>
      </c>
      <c r="E16" s="79"/>
      <c r="F16" s="80"/>
      <c r="G16" s="81"/>
      <c r="H16" s="81"/>
      <c r="I16" s="81"/>
      <c r="J16" s="80"/>
      <c r="K16" s="82"/>
      <c r="L16" s="82"/>
      <c r="M16" s="82"/>
      <c r="N16" s="82"/>
      <c r="O16" s="82"/>
      <c r="P16" s="82"/>
    </row>
    <row r="17" spans="1:16" s="162" customFormat="1" x14ac:dyDescent="0.2">
      <c r="A17" s="153">
        <v>1</v>
      </c>
      <c r="B17" s="154"/>
      <c r="C17" s="155" t="s">
        <v>1186</v>
      </c>
      <c r="D17" s="156" t="s">
        <v>11</v>
      </c>
      <c r="E17" s="157"/>
      <c r="F17" s="158"/>
      <c r="G17" s="159"/>
      <c r="H17" s="159"/>
      <c r="I17" s="159"/>
      <c r="J17" s="160"/>
      <c r="K17" s="161"/>
      <c r="L17" s="161"/>
      <c r="M17" s="161"/>
      <c r="N17" s="161"/>
      <c r="O17" s="161"/>
      <c r="P17" s="161"/>
    </row>
    <row r="18" spans="1:16" s="169" customFormat="1" x14ac:dyDescent="0.2">
      <c r="A18" s="163">
        <v>2</v>
      </c>
      <c r="B18" s="164"/>
      <c r="C18" s="165" t="s">
        <v>1179</v>
      </c>
      <c r="D18" s="166" t="s">
        <v>89</v>
      </c>
      <c r="E18" s="167"/>
      <c r="F18" s="158"/>
      <c r="G18" s="159"/>
      <c r="H18" s="159"/>
      <c r="I18" s="159"/>
      <c r="J18" s="160"/>
      <c r="K18" s="168"/>
      <c r="L18" s="168"/>
      <c r="M18" s="168"/>
      <c r="N18" s="168"/>
      <c r="O18" s="168"/>
      <c r="P18" s="168"/>
    </row>
    <row r="19" spans="1:16" s="170" customFormat="1" x14ac:dyDescent="0.3">
      <c r="A19" s="170">
        <v>3</v>
      </c>
      <c r="C19" s="99" t="s">
        <v>1180</v>
      </c>
      <c r="D19" s="100" t="s">
        <v>522</v>
      </c>
      <c r="E19" s="101" t="s">
        <v>0</v>
      </c>
      <c r="F19" s="1"/>
      <c r="G19" s="2"/>
      <c r="H19" s="2"/>
      <c r="I19" s="2"/>
      <c r="J19" s="3"/>
      <c r="K19" s="122"/>
      <c r="L19" s="122"/>
      <c r="M19" s="103"/>
      <c r="N19" s="103"/>
      <c r="O19" s="103"/>
      <c r="P19" s="103">
        <f>SUM(L19:L78)</f>
        <v>151.38</v>
      </c>
    </row>
    <row r="20" spans="1:16" x14ac:dyDescent="0.3">
      <c r="C20" s="118"/>
      <c r="D20" s="137" t="s">
        <v>160</v>
      </c>
      <c r="E20" s="138"/>
      <c r="F20" s="1"/>
      <c r="G20" s="2"/>
      <c r="H20" s="2"/>
      <c r="I20" s="2"/>
      <c r="J20" s="3"/>
      <c r="K20" s="122"/>
      <c r="L20" s="122"/>
      <c r="M20" s="113"/>
      <c r="N20" s="113"/>
      <c r="O20" s="113"/>
      <c r="P20" s="113"/>
    </row>
    <row r="21" spans="1:16" x14ac:dyDescent="0.3">
      <c r="C21" s="106"/>
      <c r="D21" s="259" t="s">
        <v>33</v>
      </c>
      <c r="E21" s="260"/>
      <c r="F21" s="255"/>
      <c r="G21" s="256"/>
      <c r="H21" s="256"/>
      <c r="I21" s="256"/>
      <c r="J21" s="229"/>
      <c r="K21" s="230"/>
      <c r="L21" s="230"/>
      <c r="M21" s="113"/>
      <c r="N21" s="113"/>
      <c r="O21" s="113"/>
      <c r="P21" s="113"/>
    </row>
    <row r="22" spans="1:16" x14ac:dyDescent="0.3">
      <c r="C22" s="114"/>
      <c r="D22" s="238" t="s">
        <v>524</v>
      </c>
      <c r="E22" s="239" t="s">
        <v>0</v>
      </c>
      <c r="F22" s="261">
        <v>1</v>
      </c>
      <c r="G22" s="241">
        <v>2.82</v>
      </c>
      <c r="H22" s="241"/>
      <c r="I22" s="241">
        <f>2.85-2.1</f>
        <v>0.75</v>
      </c>
      <c r="J22" s="235">
        <v>1</v>
      </c>
      <c r="K22" s="236"/>
      <c r="L22" s="236">
        <f t="shared" ref="L22:L27" si="0">PRODUCT(F22:J22)</f>
        <v>2.1149999999999998</v>
      </c>
      <c r="M22" s="111"/>
      <c r="N22" s="111"/>
      <c r="O22" s="111"/>
      <c r="P22" s="111"/>
    </row>
    <row r="23" spans="1:16" x14ac:dyDescent="0.3">
      <c r="C23" s="114"/>
      <c r="D23" s="238" t="s">
        <v>525</v>
      </c>
      <c r="E23" s="239" t="s">
        <v>0</v>
      </c>
      <c r="F23" s="261">
        <v>1</v>
      </c>
      <c r="G23" s="241">
        <v>1.9</v>
      </c>
      <c r="H23" s="241"/>
      <c r="I23" s="241">
        <f t="shared" ref="I23:I41" si="1">2.85-2.1</f>
        <v>0.75</v>
      </c>
      <c r="J23" s="235">
        <v>1</v>
      </c>
      <c r="K23" s="236"/>
      <c r="L23" s="236">
        <f t="shared" si="0"/>
        <v>1.4249999999999998</v>
      </c>
      <c r="M23" s="111"/>
      <c r="N23" s="111"/>
      <c r="O23" s="111"/>
      <c r="P23" s="111"/>
    </row>
    <row r="24" spans="1:16" x14ac:dyDescent="0.3">
      <c r="C24" s="114"/>
      <c r="D24" s="238" t="s">
        <v>526</v>
      </c>
      <c r="E24" s="239" t="s">
        <v>0</v>
      </c>
      <c r="F24" s="261">
        <v>1</v>
      </c>
      <c r="G24" s="241">
        <v>2.82</v>
      </c>
      <c r="H24" s="241"/>
      <c r="I24" s="241">
        <f t="shared" si="1"/>
        <v>0.75</v>
      </c>
      <c r="J24" s="235">
        <v>1</v>
      </c>
      <c r="K24" s="236"/>
      <c r="L24" s="236">
        <f t="shared" si="0"/>
        <v>2.1149999999999998</v>
      </c>
      <c r="M24" s="111"/>
      <c r="N24" s="111"/>
      <c r="O24" s="111"/>
      <c r="P24" s="111"/>
    </row>
    <row r="25" spans="1:16" x14ac:dyDescent="0.3">
      <c r="C25" s="114"/>
      <c r="D25" s="238" t="s">
        <v>527</v>
      </c>
      <c r="E25" s="239" t="s">
        <v>0</v>
      </c>
      <c r="F25" s="261">
        <v>1</v>
      </c>
      <c r="G25" s="241">
        <v>1.9</v>
      </c>
      <c r="H25" s="241"/>
      <c r="I25" s="241">
        <f t="shared" si="1"/>
        <v>0.75</v>
      </c>
      <c r="J25" s="235">
        <v>1</v>
      </c>
      <c r="K25" s="236"/>
      <c r="L25" s="236">
        <f t="shared" si="0"/>
        <v>1.4249999999999998</v>
      </c>
      <c r="M25" s="111"/>
      <c r="N25" s="111"/>
      <c r="O25" s="111"/>
      <c r="P25" s="111"/>
    </row>
    <row r="26" spans="1:16" x14ac:dyDescent="0.3">
      <c r="C26" s="114"/>
      <c r="D26" s="238" t="s">
        <v>528</v>
      </c>
      <c r="E26" s="239" t="s">
        <v>0</v>
      </c>
      <c r="F26" s="261">
        <v>1</v>
      </c>
      <c r="G26" s="241">
        <v>0.96</v>
      </c>
      <c r="H26" s="241"/>
      <c r="I26" s="241">
        <f t="shared" si="1"/>
        <v>0.75</v>
      </c>
      <c r="J26" s="235">
        <v>2</v>
      </c>
      <c r="K26" s="236"/>
      <c r="L26" s="236">
        <f t="shared" si="0"/>
        <v>1.44</v>
      </c>
      <c r="M26" s="111"/>
      <c r="N26" s="111"/>
      <c r="O26" s="111"/>
      <c r="P26" s="111"/>
    </row>
    <row r="27" spans="1:16" x14ac:dyDescent="0.3">
      <c r="C27" s="114"/>
      <c r="D27" s="238"/>
      <c r="E27" s="239" t="s">
        <v>0</v>
      </c>
      <c r="F27" s="261">
        <v>1</v>
      </c>
      <c r="G27" s="241">
        <v>0.25</v>
      </c>
      <c r="H27" s="241"/>
      <c r="I27" s="241">
        <f t="shared" si="1"/>
        <v>0.75</v>
      </c>
      <c r="J27" s="235">
        <v>1</v>
      </c>
      <c r="K27" s="236"/>
      <c r="L27" s="236">
        <f t="shared" si="0"/>
        <v>0.1875</v>
      </c>
      <c r="M27" s="111"/>
      <c r="N27" s="111"/>
      <c r="O27" s="111"/>
      <c r="P27" s="111"/>
    </row>
    <row r="28" spans="1:16" x14ac:dyDescent="0.3">
      <c r="C28" s="106"/>
      <c r="D28" s="259" t="s">
        <v>68</v>
      </c>
      <c r="E28" s="262"/>
      <c r="F28" s="229"/>
      <c r="G28" s="230"/>
      <c r="H28" s="230"/>
      <c r="I28" s="230"/>
      <c r="J28" s="229"/>
      <c r="K28" s="230"/>
      <c r="L28" s="230"/>
      <c r="M28" s="113"/>
      <c r="N28" s="113"/>
      <c r="O28" s="113"/>
      <c r="P28" s="113"/>
    </row>
    <row r="29" spans="1:16" x14ac:dyDescent="0.3">
      <c r="C29" s="114"/>
      <c r="D29" s="238" t="s">
        <v>524</v>
      </c>
      <c r="E29" s="239" t="s">
        <v>0</v>
      </c>
      <c r="F29" s="261">
        <v>1</v>
      </c>
      <c r="G29" s="241">
        <v>2.82</v>
      </c>
      <c r="H29" s="241"/>
      <c r="I29" s="241">
        <f t="shared" si="1"/>
        <v>0.75</v>
      </c>
      <c r="J29" s="235">
        <v>1</v>
      </c>
      <c r="K29" s="236"/>
      <c r="L29" s="236">
        <f t="shared" ref="L29:L34" si="2">PRODUCT(F29:J29)</f>
        <v>2.1149999999999998</v>
      </c>
      <c r="M29" s="111"/>
      <c r="N29" s="111"/>
      <c r="O29" s="111"/>
      <c r="P29" s="111"/>
    </row>
    <row r="30" spans="1:16" x14ac:dyDescent="0.3">
      <c r="C30" s="114"/>
      <c r="D30" s="238" t="s">
        <v>525</v>
      </c>
      <c r="E30" s="239" t="s">
        <v>0</v>
      </c>
      <c r="F30" s="261">
        <v>1</v>
      </c>
      <c r="G30" s="241">
        <v>1.9</v>
      </c>
      <c r="H30" s="241"/>
      <c r="I30" s="241">
        <f t="shared" si="1"/>
        <v>0.75</v>
      </c>
      <c r="J30" s="235">
        <v>1</v>
      </c>
      <c r="K30" s="236"/>
      <c r="L30" s="236">
        <f t="shared" si="2"/>
        <v>1.4249999999999998</v>
      </c>
      <c r="M30" s="111"/>
      <c r="N30" s="111"/>
      <c r="O30" s="111"/>
      <c r="P30" s="111"/>
    </row>
    <row r="31" spans="1:16" x14ac:dyDescent="0.3">
      <c r="C31" s="114"/>
      <c r="D31" s="238" t="s">
        <v>526</v>
      </c>
      <c r="E31" s="239" t="s">
        <v>0</v>
      </c>
      <c r="F31" s="261">
        <v>1</v>
      </c>
      <c r="G31" s="241">
        <v>2.82</v>
      </c>
      <c r="H31" s="241"/>
      <c r="I31" s="241">
        <f t="shared" si="1"/>
        <v>0.75</v>
      </c>
      <c r="J31" s="235">
        <v>1</v>
      </c>
      <c r="K31" s="236"/>
      <c r="L31" s="236">
        <f t="shared" si="2"/>
        <v>2.1149999999999998</v>
      </c>
      <c r="M31" s="111"/>
      <c r="N31" s="111"/>
      <c r="O31" s="111"/>
      <c r="P31" s="111"/>
    </row>
    <row r="32" spans="1:16" x14ac:dyDescent="0.3">
      <c r="C32" s="114"/>
      <c r="D32" s="238" t="s">
        <v>527</v>
      </c>
      <c r="E32" s="239" t="s">
        <v>0</v>
      </c>
      <c r="F32" s="261">
        <v>1</v>
      </c>
      <c r="G32" s="241">
        <v>1.9</v>
      </c>
      <c r="H32" s="241"/>
      <c r="I32" s="241">
        <f t="shared" si="1"/>
        <v>0.75</v>
      </c>
      <c r="J32" s="235">
        <v>1</v>
      </c>
      <c r="K32" s="236"/>
      <c r="L32" s="236">
        <f t="shared" si="2"/>
        <v>1.4249999999999998</v>
      </c>
      <c r="M32" s="111"/>
      <c r="N32" s="111"/>
      <c r="O32" s="111"/>
      <c r="P32" s="111"/>
    </row>
    <row r="33" spans="3:16" x14ac:dyDescent="0.3">
      <c r="C33" s="114"/>
      <c r="D33" s="238" t="s">
        <v>528</v>
      </c>
      <c r="E33" s="239" t="s">
        <v>0</v>
      </c>
      <c r="F33" s="261">
        <v>1</v>
      </c>
      <c r="G33" s="241">
        <v>0.96</v>
      </c>
      <c r="H33" s="241"/>
      <c r="I33" s="241">
        <f t="shared" si="1"/>
        <v>0.75</v>
      </c>
      <c r="J33" s="235">
        <v>2</v>
      </c>
      <c r="K33" s="236"/>
      <c r="L33" s="236">
        <f t="shared" si="2"/>
        <v>1.44</v>
      </c>
      <c r="M33" s="111"/>
      <c r="N33" s="111"/>
      <c r="O33" s="111"/>
      <c r="P33" s="111"/>
    </row>
    <row r="34" spans="3:16" x14ac:dyDescent="0.3">
      <c r="C34" s="106"/>
      <c r="D34" s="238"/>
      <c r="E34" s="239" t="s">
        <v>0</v>
      </c>
      <c r="F34" s="261">
        <v>1</v>
      </c>
      <c r="G34" s="241">
        <v>0.25</v>
      </c>
      <c r="H34" s="241"/>
      <c r="I34" s="241">
        <f t="shared" si="1"/>
        <v>0.75</v>
      </c>
      <c r="J34" s="235">
        <v>1</v>
      </c>
      <c r="K34" s="236"/>
      <c r="L34" s="236">
        <f t="shared" si="2"/>
        <v>0.1875</v>
      </c>
      <c r="M34" s="113"/>
      <c r="N34" s="113"/>
      <c r="O34" s="113"/>
      <c r="P34" s="113"/>
    </row>
    <row r="35" spans="3:16" x14ac:dyDescent="0.3">
      <c r="C35" s="106"/>
      <c r="D35" s="259" t="s">
        <v>45</v>
      </c>
      <c r="E35" s="260"/>
      <c r="F35" s="255"/>
      <c r="G35" s="256"/>
      <c r="H35" s="256"/>
      <c r="I35" s="256"/>
      <c r="J35" s="229"/>
      <c r="K35" s="230"/>
      <c r="L35" s="230"/>
      <c r="M35" s="113"/>
      <c r="N35" s="113"/>
      <c r="O35" s="113"/>
      <c r="P35" s="113"/>
    </row>
    <row r="36" spans="3:16" x14ac:dyDescent="0.3">
      <c r="C36" s="114"/>
      <c r="D36" s="238" t="s">
        <v>524</v>
      </c>
      <c r="E36" s="239" t="s">
        <v>0</v>
      </c>
      <c r="F36" s="261">
        <v>1</v>
      </c>
      <c r="G36" s="241">
        <v>2.82</v>
      </c>
      <c r="H36" s="241"/>
      <c r="I36" s="241">
        <f t="shared" si="1"/>
        <v>0.75</v>
      </c>
      <c r="J36" s="235">
        <v>1</v>
      </c>
      <c r="K36" s="236"/>
      <c r="L36" s="236">
        <f t="shared" ref="L36:L41" si="3">PRODUCT(F36:J36)</f>
        <v>2.1149999999999998</v>
      </c>
      <c r="M36" s="111"/>
      <c r="N36" s="111"/>
      <c r="O36" s="111"/>
      <c r="P36" s="111"/>
    </row>
    <row r="37" spans="3:16" x14ac:dyDescent="0.3">
      <c r="C37" s="114"/>
      <c r="D37" s="238" t="s">
        <v>525</v>
      </c>
      <c r="E37" s="239" t="s">
        <v>0</v>
      </c>
      <c r="F37" s="261">
        <v>1</v>
      </c>
      <c r="G37" s="241">
        <v>1.9</v>
      </c>
      <c r="H37" s="241"/>
      <c r="I37" s="241">
        <f t="shared" si="1"/>
        <v>0.75</v>
      </c>
      <c r="J37" s="235">
        <v>1</v>
      </c>
      <c r="K37" s="236"/>
      <c r="L37" s="236">
        <f t="shared" si="3"/>
        <v>1.4249999999999998</v>
      </c>
      <c r="M37" s="111"/>
      <c r="N37" s="111"/>
      <c r="O37" s="111"/>
      <c r="P37" s="111"/>
    </row>
    <row r="38" spans="3:16" x14ac:dyDescent="0.3">
      <c r="C38" s="114"/>
      <c r="D38" s="238" t="s">
        <v>526</v>
      </c>
      <c r="E38" s="239" t="s">
        <v>0</v>
      </c>
      <c r="F38" s="261">
        <v>1</v>
      </c>
      <c r="G38" s="241">
        <v>2.82</v>
      </c>
      <c r="H38" s="241"/>
      <c r="I38" s="241">
        <f t="shared" si="1"/>
        <v>0.75</v>
      </c>
      <c r="J38" s="235">
        <v>1</v>
      </c>
      <c r="K38" s="236"/>
      <c r="L38" s="236">
        <f t="shared" si="3"/>
        <v>2.1149999999999998</v>
      </c>
      <c r="M38" s="111"/>
      <c r="N38" s="111"/>
      <c r="O38" s="111"/>
      <c r="P38" s="111"/>
    </row>
    <row r="39" spans="3:16" x14ac:dyDescent="0.3">
      <c r="C39" s="114"/>
      <c r="D39" s="238" t="s">
        <v>527</v>
      </c>
      <c r="E39" s="239" t="s">
        <v>0</v>
      </c>
      <c r="F39" s="261">
        <v>1</v>
      </c>
      <c r="G39" s="241">
        <v>1.9</v>
      </c>
      <c r="H39" s="241"/>
      <c r="I39" s="241">
        <f t="shared" si="1"/>
        <v>0.75</v>
      </c>
      <c r="J39" s="235">
        <v>1</v>
      </c>
      <c r="K39" s="236"/>
      <c r="L39" s="236">
        <f t="shared" si="3"/>
        <v>1.4249999999999998</v>
      </c>
      <c r="M39" s="111"/>
      <c r="N39" s="111"/>
      <c r="O39" s="111"/>
      <c r="P39" s="111"/>
    </row>
    <row r="40" spans="3:16" x14ac:dyDescent="0.3">
      <c r="C40" s="114"/>
      <c r="D40" s="238" t="s">
        <v>528</v>
      </c>
      <c r="E40" s="239" t="s">
        <v>0</v>
      </c>
      <c r="F40" s="261">
        <v>1</v>
      </c>
      <c r="G40" s="241">
        <v>0.96</v>
      </c>
      <c r="H40" s="241"/>
      <c r="I40" s="241">
        <f t="shared" si="1"/>
        <v>0.75</v>
      </c>
      <c r="J40" s="235">
        <v>2</v>
      </c>
      <c r="K40" s="236"/>
      <c r="L40" s="236">
        <f t="shared" si="3"/>
        <v>1.44</v>
      </c>
      <c r="M40" s="111"/>
      <c r="N40" s="111"/>
      <c r="O40" s="111"/>
      <c r="P40" s="111"/>
    </row>
    <row r="41" spans="3:16" x14ac:dyDescent="0.3">
      <c r="C41" s="106"/>
      <c r="D41" s="238"/>
      <c r="E41" s="239" t="s">
        <v>0</v>
      </c>
      <c r="F41" s="261">
        <v>1</v>
      </c>
      <c r="G41" s="241">
        <v>0.25</v>
      </c>
      <c r="H41" s="241"/>
      <c r="I41" s="241">
        <f t="shared" si="1"/>
        <v>0.75</v>
      </c>
      <c r="J41" s="235">
        <v>1</v>
      </c>
      <c r="K41" s="236"/>
      <c r="L41" s="236">
        <f t="shared" si="3"/>
        <v>0.1875</v>
      </c>
      <c r="M41" s="113"/>
      <c r="N41" s="113"/>
      <c r="O41" s="113"/>
      <c r="P41" s="113"/>
    </row>
    <row r="42" spans="3:16" x14ac:dyDescent="0.3">
      <c r="C42" s="106"/>
      <c r="D42" s="259" t="s">
        <v>69</v>
      </c>
      <c r="E42" s="260"/>
      <c r="F42" s="255"/>
      <c r="G42" s="256"/>
      <c r="H42" s="256"/>
      <c r="I42" s="256"/>
      <c r="J42" s="229"/>
      <c r="K42" s="230"/>
      <c r="L42" s="230"/>
      <c r="M42" s="113"/>
      <c r="N42" s="113"/>
      <c r="O42" s="113"/>
      <c r="P42" s="113"/>
    </row>
    <row r="43" spans="3:16" x14ac:dyDescent="0.3">
      <c r="C43" s="114"/>
      <c r="D43" s="238" t="s">
        <v>524</v>
      </c>
      <c r="E43" s="239" t="s">
        <v>0</v>
      </c>
      <c r="F43" s="261">
        <v>1</v>
      </c>
      <c r="G43" s="241">
        <v>2.82</v>
      </c>
      <c r="H43" s="241"/>
      <c r="I43" s="241">
        <f>3.85-2.1</f>
        <v>1.75</v>
      </c>
      <c r="J43" s="235">
        <v>1</v>
      </c>
      <c r="K43" s="236"/>
      <c r="L43" s="236">
        <f t="shared" ref="L43:L48" si="4">PRODUCT(F43:J43)</f>
        <v>4.9349999999999996</v>
      </c>
      <c r="M43" s="111"/>
      <c r="N43" s="111"/>
      <c r="O43" s="111"/>
      <c r="P43" s="111"/>
    </row>
    <row r="44" spans="3:16" x14ac:dyDescent="0.3">
      <c r="C44" s="114"/>
      <c r="D44" s="238" t="s">
        <v>525</v>
      </c>
      <c r="E44" s="239" t="s">
        <v>0</v>
      </c>
      <c r="F44" s="261">
        <v>1</v>
      </c>
      <c r="G44" s="241">
        <v>1.9</v>
      </c>
      <c r="H44" s="241"/>
      <c r="I44" s="241">
        <f t="shared" ref="I44:I48" si="5">3.85-2.1</f>
        <v>1.75</v>
      </c>
      <c r="J44" s="235">
        <v>1</v>
      </c>
      <c r="K44" s="236"/>
      <c r="L44" s="236">
        <f t="shared" si="4"/>
        <v>3.3249999999999997</v>
      </c>
      <c r="M44" s="111"/>
      <c r="N44" s="111"/>
      <c r="O44" s="111"/>
      <c r="P44" s="111"/>
    </row>
    <row r="45" spans="3:16" x14ac:dyDescent="0.3">
      <c r="C45" s="114"/>
      <c r="D45" s="238" t="s">
        <v>526</v>
      </c>
      <c r="E45" s="239" t="s">
        <v>0</v>
      </c>
      <c r="F45" s="261">
        <v>1</v>
      </c>
      <c r="G45" s="241">
        <v>2.82</v>
      </c>
      <c r="H45" s="241"/>
      <c r="I45" s="241">
        <f t="shared" si="5"/>
        <v>1.75</v>
      </c>
      <c r="J45" s="235">
        <v>1</v>
      </c>
      <c r="K45" s="236"/>
      <c r="L45" s="236">
        <f t="shared" si="4"/>
        <v>4.9349999999999996</v>
      </c>
      <c r="M45" s="111"/>
      <c r="N45" s="111"/>
      <c r="O45" s="111"/>
      <c r="P45" s="111"/>
    </row>
    <row r="46" spans="3:16" x14ac:dyDescent="0.3">
      <c r="C46" s="114"/>
      <c r="D46" s="238" t="s">
        <v>527</v>
      </c>
      <c r="E46" s="239" t="s">
        <v>0</v>
      </c>
      <c r="F46" s="261">
        <v>1</v>
      </c>
      <c r="G46" s="241">
        <v>1.9</v>
      </c>
      <c r="H46" s="241"/>
      <c r="I46" s="241">
        <f t="shared" si="5"/>
        <v>1.75</v>
      </c>
      <c r="J46" s="235">
        <v>1</v>
      </c>
      <c r="K46" s="236"/>
      <c r="L46" s="236">
        <f t="shared" si="4"/>
        <v>3.3249999999999997</v>
      </c>
      <c r="M46" s="111"/>
      <c r="N46" s="111"/>
      <c r="O46" s="111"/>
      <c r="P46" s="111"/>
    </row>
    <row r="47" spans="3:16" x14ac:dyDescent="0.3">
      <c r="C47" s="114"/>
      <c r="D47" s="238" t="s">
        <v>528</v>
      </c>
      <c r="E47" s="239" t="s">
        <v>0</v>
      </c>
      <c r="F47" s="261">
        <v>1</v>
      </c>
      <c r="G47" s="241">
        <v>0.96</v>
      </c>
      <c r="H47" s="241"/>
      <c r="I47" s="241">
        <f t="shared" si="5"/>
        <v>1.75</v>
      </c>
      <c r="J47" s="235">
        <v>2</v>
      </c>
      <c r="K47" s="236"/>
      <c r="L47" s="236">
        <f t="shared" si="4"/>
        <v>3.36</v>
      </c>
      <c r="M47" s="111"/>
      <c r="N47" s="111"/>
      <c r="O47" s="111"/>
      <c r="P47" s="111"/>
    </row>
    <row r="48" spans="3:16" x14ac:dyDescent="0.3">
      <c r="C48" s="106"/>
      <c r="D48" s="238"/>
      <c r="E48" s="239" t="s">
        <v>0</v>
      </c>
      <c r="F48" s="261">
        <v>1</v>
      </c>
      <c r="G48" s="241">
        <v>0.25</v>
      </c>
      <c r="H48" s="241"/>
      <c r="I48" s="241">
        <f t="shared" si="5"/>
        <v>1.75</v>
      </c>
      <c r="J48" s="235">
        <v>1</v>
      </c>
      <c r="K48" s="236"/>
      <c r="L48" s="236">
        <f t="shared" si="4"/>
        <v>0.4375</v>
      </c>
      <c r="M48" s="113"/>
      <c r="N48" s="113"/>
      <c r="O48" s="113"/>
      <c r="P48" s="113"/>
    </row>
    <row r="49" spans="3:16" x14ac:dyDescent="0.3">
      <c r="C49" s="118"/>
      <c r="D49" s="137" t="s">
        <v>174</v>
      </c>
      <c r="E49" s="138"/>
      <c r="F49" s="1"/>
      <c r="G49" s="2"/>
      <c r="H49" s="2"/>
      <c r="I49" s="2"/>
      <c r="J49" s="3"/>
      <c r="K49" s="122"/>
      <c r="L49" s="122"/>
      <c r="M49" s="113"/>
      <c r="N49" s="113"/>
      <c r="O49" s="113"/>
      <c r="P49" s="113"/>
    </row>
    <row r="50" spans="3:16" x14ac:dyDescent="0.3">
      <c r="C50" s="106"/>
      <c r="D50" s="140" t="s">
        <v>33</v>
      </c>
      <c r="E50" s="138"/>
      <c r="F50" s="1"/>
      <c r="G50" s="2"/>
      <c r="H50" s="2"/>
      <c r="I50" s="2"/>
      <c r="J50" s="3"/>
      <c r="K50" s="122"/>
      <c r="L50" s="122"/>
      <c r="M50" s="113"/>
      <c r="N50" s="113"/>
      <c r="O50" s="113"/>
      <c r="P50" s="113"/>
    </row>
    <row r="51" spans="3:16" x14ac:dyDescent="0.3">
      <c r="C51" s="114"/>
      <c r="D51" s="238" t="s">
        <v>529</v>
      </c>
      <c r="E51" s="239" t="s">
        <v>0</v>
      </c>
      <c r="F51" s="261">
        <v>1</v>
      </c>
      <c r="G51" s="241">
        <v>1.03</v>
      </c>
      <c r="H51" s="241"/>
      <c r="I51" s="241">
        <v>3.05</v>
      </c>
      <c r="J51" s="235">
        <v>1</v>
      </c>
      <c r="K51" s="236"/>
      <c r="L51" s="236">
        <f t="shared" ref="L51:L56" si="6">PRODUCT(F51:J51)</f>
        <v>3.1414999999999997</v>
      </c>
      <c r="M51" s="111"/>
      <c r="N51" s="111"/>
      <c r="O51" s="111"/>
      <c r="P51" s="111"/>
    </row>
    <row r="52" spans="3:16" x14ac:dyDescent="0.3">
      <c r="C52" s="114"/>
      <c r="D52" s="238"/>
      <c r="E52" s="239" t="s">
        <v>0</v>
      </c>
      <c r="F52" s="261">
        <v>1</v>
      </c>
      <c r="G52" s="241">
        <v>0.93</v>
      </c>
      <c r="H52" s="241"/>
      <c r="I52" s="241">
        <f t="shared" ref="I52:I54" si="7">2.85-2.1</f>
        <v>0.75</v>
      </c>
      <c r="J52" s="235">
        <v>1</v>
      </c>
      <c r="K52" s="236"/>
      <c r="L52" s="236">
        <f t="shared" si="6"/>
        <v>0.69750000000000001</v>
      </c>
      <c r="M52" s="111"/>
      <c r="N52" s="111"/>
      <c r="O52" s="111"/>
      <c r="P52" s="111"/>
    </row>
    <row r="53" spans="3:16" x14ac:dyDescent="0.3">
      <c r="C53" s="114"/>
      <c r="D53" s="238" t="s">
        <v>530</v>
      </c>
      <c r="E53" s="239" t="s">
        <v>0</v>
      </c>
      <c r="F53" s="261">
        <v>1</v>
      </c>
      <c r="G53" s="241">
        <v>1</v>
      </c>
      <c r="H53" s="241"/>
      <c r="I53" s="241">
        <v>2.85</v>
      </c>
      <c r="J53" s="235">
        <v>1</v>
      </c>
      <c r="K53" s="236"/>
      <c r="L53" s="236">
        <f t="shared" si="6"/>
        <v>2.85</v>
      </c>
      <c r="M53" s="111"/>
      <c r="N53" s="111"/>
      <c r="O53" s="111"/>
      <c r="P53" s="111"/>
    </row>
    <row r="54" spans="3:16" x14ac:dyDescent="0.3">
      <c r="C54" s="114"/>
      <c r="D54" s="238"/>
      <c r="E54" s="239" t="s">
        <v>0</v>
      </c>
      <c r="F54" s="261">
        <v>1</v>
      </c>
      <c r="G54" s="241">
        <v>1</v>
      </c>
      <c r="H54" s="241"/>
      <c r="I54" s="241">
        <f t="shared" si="7"/>
        <v>0.75</v>
      </c>
      <c r="J54" s="235">
        <v>1</v>
      </c>
      <c r="K54" s="236"/>
      <c r="L54" s="236">
        <f t="shared" si="6"/>
        <v>0.75</v>
      </c>
      <c r="M54" s="111"/>
      <c r="N54" s="111"/>
      <c r="O54" s="111"/>
      <c r="P54" s="111"/>
    </row>
    <row r="55" spans="3:16" x14ac:dyDescent="0.3">
      <c r="C55" s="114"/>
      <c r="D55" s="238" t="s">
        <v>531</v>
      </c>
      <c r="E55" s="239" t="s">
        <v>0</v>
      </c>
      <c r="F55" s="261">
        <v>2</v>
      </c>
      <c r="G55" s="241">
        <v>0.96</v>
      </c>
      <c r="H55" s="241"/>
      <c r="I55" s="241">
        <v>3.05</v>
      </c>
      <c r="J55" s="235">
        <v>1</v>
      </c>
      <c r="K55" s="236"/>
      <c r="L55" s="236">
        <f t="shared" si="6"/>
        <v>5.8559999999999999</v>
      </c>
      <c r="M55" s="111"/>
      <c r="N55" s="111"/>
      <c r="O55" s="111"/>
      <c r="P55" s="111"/>
    </row>
    <row r="56" spans="3:16" x14ac:dyDescent="0.3">
      <c r="C56" s="114"/>
      <c r="D56" s="238" t="s">
        <v>532</v>
      </c>
      <c r="E56" s="239" t="s">
        <v>0</v>
      </c>
      <c r="F56" s="261">
        <v>2</v>
      </c>
      <c r="G56" s="241">
        <v>1.85</v>
      </c>
      <c r="H56" s="241"/>
      <c r="I56" s="241">
        <v>2.85</v>
      </c>
      <c r="J56" s="235">
        <v>1</v>
      </c>
      <c r="K56" s="236"/>
      <c r="L56" s="236">
        <f t="shared" si="6"/>
        <v>10.545000000000002</v>
      </c>
      <c r="M56" s="111"/>
      <c r="N56" s="111"/>
      <c r="O56" s="111"/>
      <c r="P56" s="111"/>
    </row>
    <row r="57" spans="3:16" x14ac:dyDescent="0.3">
      <c r="C57" s="106"/>
      <c r="D57" s="140" t="s">
        <v>134</v>
      </c>
      <c r="E57" s="138"/>
      <c r="F57" s="1"/>
      <c r="G57" s="2"/>
      <c r="H57" s="2"/>
      <c r="I57" s="2"/>
      <c r="J57" s="3"/>
      <c r="K57" s="122"/>
      <c r="L57" s="122"/>
      <c r="M57" s="113"/>
      <c r="N57" s="113"/>
      <c r="O57" s="113"/>
      <c r="P57" s="113"/>
    </row>
    <row r="58" spans="3:16" x14ac:dyDescent="0.3">
      <c r="C58" s="114"/>
      <c r="D58" s="238" t="s">
        <v>529</v>
      </c>
      <c r="E58" s="239" t="s">
        <v>0</v>
      </c>
      <c r="F58" s="261">
        <v>1</v>
      </c>
      <c r="G58" s="241">
        <v>1.03</v>
      </c>
      <c r="H58" s="241"/>
      <c r="I58" s="241">
        <v>3.05</v>
      </c>
      <c r="J58" s="235">
        <v>1</v>
      </c>
      <c r="K58" s="236"/>
      <c r="L58" s="236">
        <f t="shared" ref="L58:L63" si="8">PRODUCT(F58:J58)</f>
        <v>3.1414999999999997</v>
      </c>
      <c r="M58" s="111"/>
      <c r="N58" s="111"/>
      <c r="O58" s="111"/>
      <c r="P58" s="111"/>
    </row>
    <row r="59" spans="3:16" x14ac:dyDescent="0.3">
      <c r="C59" s="114"/>
      <c r="D59" s="238"/>
      <c r="E59" s="239" t="s">
        <v>0</v>
      </c>
      <c r="F59" s="261">
        <v>1</v>
      </c>
      <c r="G59" s="241">
        <v>0.93</v>
      </c>
      <c r="H59" s="241"/>
      <c r="I59" s="241">
        <f t="shared" ref="I59:I61" si="9">2.85-2.1</f>
        <v>0.75</v>
      </c>
      <c r="J59" s="235">
        <v>1</v>
      </c>
      <c r="K59" s="236"/>
      <c r="L59" s="236">
        <f t="shared" si="8"/>
        <v>0.69750000000000001</v>
      </c>
      <c r="M59" s="111"/>
      <c r="N59" s="111"/>
      <c r="O59" s="111"/>
      <c r="P59" s="111"/>
    </row>
    <row r="60" spans="3:16" x14ac:dyDescent="0.3">
      <c r="C60" s="114"/>
      <c r="D60" s="238" t="s">
        <v>530</v>
      </c>
      <c r="E60" s="239" t="s">
        <v>0</v>
      </c>
      <c r="F60" s="261">
        <v>1</v>
      </c>
      <c r="G60" s="241">
        <v>1</v>
      </c>
      <c r="H60" s="241"/>
      <c r="I60" s="241">
        <v>2.85</v>
      </c>
      <c r="J60" s="235">
        <v>1</v>
      </c>
      <c r="K60" s="236"/>
      <c r="L60" s="236">
        <f t="shared" si="8"/>
        <v>2.85</v>
      </c>
      <c r="M60" s="111"/>
      <c r="N60" s="111"/>
      <c r="O60" s="111"/>
      <c r="P60" s="111"/>
    </row>
    <row r="61" spans="3:16" x14ac:dyDescent="0.3">
      <c r="C61" s="114"/>
      <c r="D61" s="238"/>
      <c r="E61" s="239" t="s">
        <v>0</v>
      </c>
      <c r="F61" s="261">
        <v>1</v>
      </c>
      <c r="G61" s="241">
        <v>1</v>
      </c>
      <c r="H61" s="241"/>
      <c r="I61" s="241">
        <f t="shared" si="9"/>
        <v>0.75</v>
      </c>
      <c r="J61" s="235">
        <v>1</v>
      </c>
      <c r="K61" s="236"/>
      <c r="L61" s="236">
        <f t="shared" si="8"/>
        <v>0.75</v>
      </c>
      <c r="M61" s="111"/>
      <c r="N61" s="111"/>
      <c r="O61" s="111"/>
      <c r="P61" s="111"/>
    </row>
    <row r="62" spans="3:16" x14ac:dyDescent="0.3">
      <c r="C62" s="114"/>
      <c r="D62" s="238" t="s">
        <v>531</v>
      </c>
      <c r="E62" s="239" t="s">
        <v>0</v>
      </c>
      <c r="F62" s="261">
        <v>2</v>
      </c>
      <c r="G62" s="241">
        <v>0.96</v>
      </c>
      <c r="H62" s="241"/>
      <c r="I62" s="241">
        <v>3.05</v>
      </c>
      <c r="J62" s="235">
        <v>1</v>
      </c>
      <c r="K62" s="236"/>
      <c r="L62" s="236">
        <f t="shared" si="8"/>
        <v>5.8559999999999999</v>
      </c>
      <c r="M62" s="111"/>
      <c r="N62" s="111"/>
      <c r="O62" s="111"/>
      <c r="P62" s="111"/>
    </row>
    <row r="63" spans="3:16" x14ac:dyDescent="0.3">
      <c r="C63" s="114"/>
      <c r="D63" s="238" t="s">
        <v>532</v>
      </c>
      <c r="E63" s="239" t="s">
        <v>0</v>
      </c>
      <c r="F63" s="261">
        <v>2</v>
      </c>
      <c r="G63" s="241">
        <v>1.85</v>
      </c>
      <c r="H63" s="241"/>
      <c r="I63" s="241">
        <v>2.85</v>
      </c>
      <c r="J63" s="235">
        <v>1</v>
      </c>
      <c r="K63" s="236"/>
      <c r="L63" s="236">
        <f t="shared" si="8"/>
        <v>10.545000000000002</v>
      </c>
      <c r="M63" s="111"/>
      <c r="N63" s="111"/>
      <c r="O63" s="111"/>
      <c r="P63" s="111"/>
    </row>
    <row r="64" spans="3:16" x14ac:dyDescent="0.3">
      <c r="C64" s="106"/>
      <c r="D64" s="140" t="s">
        <v>45</v>
      </c>
      <c r="E64" s="138"/>
      <c r="F64" s="1"/>
      <c r="G64" s="2"/>
      <c r="H64" s="2"/>
      <c r="I64" s="2"/>
      <c r="J64" s="3"/>
      <c r="K64" s="122"/>
      <c r="L64" s="122"/>
      <c r="M64" s="113"/>
      <c r="N64" s="113"/>
      <c r="O64" s="113"/>
      <c r="P64" s="113"/>
    </row>
    <row r="65" spans="3:16" x14ac:dyDescent="0.3">
      <c r="C65" s="114"/>
      <c r="D65" s="238" t="s">
        <v>529</v>
      </c>
      <c r="E65" s="239" t="s">
        <v>0</v>
      </c>
      <c r="F65" s="261">
        <v>1</v>
      </c>
      <c r="G65" s="241">
        <v>1.03</v>
      </c>
      <c r="H65" s="241"/>
      <c r="I65" s="241">
        <v>3.05</v>
      </c>
      <c r="J65" s="235">
        <v>1</v>
      </c>
      <c r="K65" s="236"/>
      <c r="L65" s="236">
        <f t="shared" ref="L65:L70" si="10">PRODUCT(F65:J65)</f>
        <v>3.1414999999999997</v>
      </c>
      <c r="M65" s="111"/>
      <c r="N65" s="111"/>
      <c r="O65" s="111"/>
      <c r="P65" s="111"/>
    </row>
    <row r="66" spans="3:16" x14ac:dyDescent="0.3">
      <c r="C66" s="114"/>
      <c r="D66" s="238"/>
      <c r="E66" s="239" t="s">
        <v>0</v>
      </c>
      <c r="F66" s="261">
        <v>1</v>
      </c>
      <c r="G66" s="241">
        <v>0.93</v>
      </c>
      <c r="H66" s="241"/>
      <c r="I66" s="241">
        <f t="shared" ref="I66:I68" si="11">2.85-2.1</f>
        <v>0.75</v>
      </c>
      <c r="J66" s="235">
        <v>1</v>
      </c>
      <c r="K66" s="236"/>
      <c r="L66" s="236">
        <f t="shared" si="10"/>
        <v>0.69750000000000001</v>
      </c>
      <c r="M66" s="111"/>
      <c r="N66" s="111"/>
      <c r="O66" s="111"/>
      <c r="P66" s="111"/>
    </row>
    <row r="67" spans="3:16" x14ac:dyDescent="0.3">
      <c r="C67" s="114"/>
      <c r="D67" s="238" t="s">
        <v>530</v>
      </c>
      <c r="E67" s="239" t="s">
        <v>0</v>
      </c>
      <c r="F67" s="261">
        <v>1</v>
      </c>
      <c r="G67" s="241">
        <v>1</v>
      </c>
      <c r="H67" s="241"/>
      <c r="I67" s="241">
        <v>2.85</v>
      </c>
      <c r="J67" s="235">
        <v>1</v>
      </c>
      <c r="K67" s="236"/>
      <c r="L67" s="236">
        <f t="shared" si="10"/>
        <v>2.85</v>
      </c>
      <c r="M67" s="111"/>
      <c r="N67" s="111"/>
      <c r="O67" s="111"/>
      <c r="P67" s="111"/>
    </row>
    <row r="68" spans="3:16" x14ac:dyDescent="0.3">
      <c r="C68" s="114"/>
      <c r="D68" s="238"/>
      <c r="E68" s="239" t="s">
        <v>0</v>
      </c>
      <c r="F68" s="261">
        <v>1</v>
      </c>
      <c r="G68" s="241">
        <v>1</v>
      </c>
      <c r="H68" s="241"/>
      <c r="I68" s="241">
        <f t="shared" si="11"/>
        <v>0.75</v>
      </c>
      <c r="J68" s="235">
        <v>1</v>
      </c>
      <c r="K68" s="236"/>
      <c r="L68" s="236">
        <f t="shared" si="10"/>
        <v>0.75</v>
      </c>
      <c r="M68" s="111"/>
      <c r="N68" s="111"/>
      <c r="O68" s="111"/>
      <c r="P68" s="111"/>
    </row>
    <row r="69" spans="3:16" x14ac:dyDescent="0.3">
      <c r="C69" s="114"/>
      <c r="D69" s="238" t="s">
        <v>531</v>
      </c>
      <c r="E69" s="239" t="s">
        <v>0</v>
      </c>
      <c r="F69" s="261">
        <v>2</v>
      </c>
      <c r="G69" s="241">
        <v>0.96</v>
      </c>
      <c r="H69" s="241"/>
      <c r="I69" s="241">
        <v>3.05</v>
      </c>
      <c r="J69" s="235">
        <v>1</v>
      </c>
      <c r="K69" s="236"/>
      <c r="L69" s="236">
        <f t="shared" si="10"/>
        <v>5.8559999999999999</v>
      </c>
      <c r="M69" s="111"/>
      <c r="N69" s="111"/>
      <c r="O69" s="111"/>
      <c r="P69" s="111"/>
    </row>
    <row r="70" spans="3:16" x14ac:dyDescent="0.3">
      <c r="C70" s="114"/>
      <c r="D70" s="238" t="s">
        <v>532</v>
      </c>
      <c r="E70" s="239" t="s">
        <v>0</v>
      </c>
      <c r="F70" s="261">
        <v>2</v>
      </c>
      <c r="G70" s="241">
        <v>1.85</v>
      </c>
      <c r="H70" s="241"/>
      <c r="I70" s="241">
        <v>2.85</v>
      </c>
      <c r="J70" s="235">
        <v>1</v>
      </c>
      <c r="K70" s="236"/>
      <c r="L70" s="236">
        <f t="shared" si="10"/>
        <v>10.545000000000002</v>
      </c>
      <c r="M70" s="111"/>
      <c r="N70" s="111"/>
      <c r="O70" s="111"/>
      <c r="P70" s="111"/>
    </row>
    <row r="71" spans="3:16" x14ac:dyDescent="0.3">
      <c r="C71" s="106"/>
      <c r="D71" s="140" t="s">
        <v>852</v>
      </c>
      <c r="E71" s="138"/>
      <c r="F71" s="1"/>
      <c r="G71" s="2"/>
      <c r="H71" s="2"/>
      <c r="I71" s="2"/>
      <c r="J71" s="3"/>
      <c r="K71" s="122"/>
      <c r="L71" s="122"/>
      <c r="M71" s="113"/>
      <c r="N71" s="113"/>
      <c r="O71" s="113"/>
      <c r="P71" s="113"/>
    </row>
    <row r="72" spans="3:16" x14ac:dyDescent="0.3">
      <c r="C72" s="114"/>
      <c r="D72" s="238" t="s">
        <v>529</v>
      </c>
      <c r="E72" s="239" t="s">
        <v>0</v>
      </c>
      <c r="F72" s="261">
        <v>1</v>
      </c>
      <c r="G72" s="241">
        <v>1.03</v>
      </c>
      <c r="H72" s="241"/>
      <c r="I72" s="241">
        <v>4.05</v>
      </c>
      <c r="J72" s="235">
        <v>1</v>
      </c>
      <c r="K72" s="236"/>
      <c r="L72" s="236">
        <f t="shared" ref="L72:L77" si="12">PRODUCT(F72:J72)</f>
        <v>4.1715</v>
      </c>
      <c r="M72" s="111"/>
      <c r="N72" s="111"/>
      <c r="O72" s="111"/>
      <c r="P72" s="111"/>
    </row>
    <row r="73" spans="3:16" x14ac:dyDescent="0.3">
      <c r="C73" s="114"/>
      <c r="D73" s="238"/>
      <c r="E73" s="239" t="s">
        <v>0</v>
      </c>
      <c r="F73" s="261">
        <v>1</v>
      </c>
      <c r="G73" s="241">
        <v>0.93</v>
      </c>
      <c r="H73" s="241"/>
      <c r="I73" s="241">
        <f>3.85-2.1</f>
        <v>1.75</v>
      </c>
      <c r="J73" s="235">
        <v>1</v>
      </c>
      <c r="K73" s="236"/>
      <c r="L73" s="236">
        <f t="shared" si="12"/>
        <v>1.6275000000000002</v>
      </c>
      <c r="M73" s="111"/>
      <c r="N73" s="111"/>
      <c r="O73" s="111"/>
      <c r="P73" s="111"/>
    </row>
    <row r="74" spans="3:16" x14ac:dyDescent="0.3">
      <c r="C74" s="114"/>
      <c r="D74" s="238" t="s">
        <v>530</v>
      </c>
      <c r="E74" s="239" t="s">
        <v>0</v>
      </c>
      <c r="F74" s="261">
        <v>1</v>
      </c>
      <c r="G74" s="241">
        <v>1</v>
      </c>
      <c r="H74" s="241"/>
      <c r="I74" s="241">
        <v>3.85</v>
      </c>
      <c r="J74" s="235">
        <v>1</v>
      </c>
      <c r="K74" s="236"/>
      <c r="L74" s="236">
        <f t="shared" si="12"/>
        <v>3.85</v>
      </c>
      <c r="M74" s="111"/>
      <c r="N74" s="111"/>
      <c r="O74" s="111"/>
      <c r="P74" s="111"/>
    </row>
    <row r="75" spans="3:16" x14ac:dyDescent="0.3">
      <c r="C75" s="114"/>
      <c r="D75" s="238"/>
      <c r="E75" s="239" t="s">
        <v>0</v>
      </c>
      <c r="F75" s="261">
        <v>1</v>
      </c>
      <c r="G75" s="241">
        <v>1</v>
      </c>
      <c r="H75" s="241"/>
      <c r="I75" s="241">
        <f>3.85-2.1</f>
        <v>1.75</v>
      </c>
      <c r="J75" s="235">
        <v>1</v>
      </c>
      <c r="K75" s="236"/>
      <c r="L75" s="236">
        <f t="shared" si="12"/>
        <v>1.75</v>
      </c>
      <c r="M75" s="111"/>
      <c r="N75" s="111"/>
      <c r="O75" s="111"/>
      <c r="P75" s="111"/>
    </row>
    <row r="76" spans="3:16" x14ac:dyDescent="0.3">
      <c r="C76" s="114"/>
      <c r="D76" s="238" t="s">
        <v>531</v>
      </c>
      <c r="E76" s="239" t="s">
        <v>0</v>
      </c>
      <c r="F76" s="261">
        <v>2</v>
      </c>
      <c r="G76" s="241">
        <v>0.96</v>
      </c>
      <c r="H76" s="241"/>
      <c r="I76" s="241">
        <v>4.05</v>
      </c>
      <c r="J76" s="235">
        <v>1</v>
      </c>
      <c r="K76" s="236"/>
      <c r="L76" s="236">
        <f t="shared" si="12"/>
        <v>7.7759999999999998</v>
      </c>
      <c r="M76" s="111"/>
      <c r="N76" s="111"/>
      <c r="O76" s="111"/>
      <c r="P76" s="111"/>
    </row>
    <row r="77" spans="3:16" x14ac:dyDescent="0.3">
      <c r="C77" s="114"/>
      <c r="D77" s="238" t="s">
        <v>532</v>
      </c>
      <c r="E77" s="239" t="s">
        <v>0</v>
      </c>
      <c r="F77" s="261">
        <v>2</v>
      </c>
      <c r="G77" s="241">
        <v>1.85</v>
      </c>
      <c r="H77" s="241"/>
      <c r="I77" s="241">
        <v>3.85</v>
      </c>
      <c r="J77" s="235">
        <v>1</v>
      </c>
      <c r="K77" s="236"/>
      <c r="L77" s="236">
        <f t="shared" si="12"/>
        <v>14.245000000000001</v>
      </c>
      <c r="M77" s="111"/>
      <c r="N77" s="111"/>
      <c r="O77" s="111"/>
      <c r="P77" s="111"/>
    </row>
    <row r="78" spans="3:16" x14ac:dyDescent="0.3">
      <c r="C78" s="114"/>
      <c r="D78" s="263"/>
      <c r="E78" s="116"/>
      <c r="F78" s="264"/>
      <c r="G78" s="149"/>
      <c r="H78" s="149"/>
      <c r="I78" s="149"/>
      <c r="J78" s="109"/>
      <c r="K78" s="110"/>
      <c r="L78" s="110"/>
      <c r="M78" s="111"/>
      <c r="N78" s="111"/>
      <c r="O78" s="111"/>
      <c r="P78" s="111"/>
    </row>
    <row r="79" spans="3:16" x14ac:dyDescent="0.3">
      <c r="C79" s="99" t="s">
        <v>1182</v>
      </c>
      <c r="D79" s="100" t="s">
        <v>520</v>
      </c>
      <c r="E79" s="101" t="s">
        <v>0</v>
      </c>
      <c r="F79" s="1"/>
      <c r="G79" s="2"/>
      <c r="H79" s="2"/>
      <c r="I79" s="2"/>
      <c r="J79" s="3"/>
      <c r="K79" s="122"/>
      <c r="L79" s="122"/>
      <c r="M79" s="103"/>
      <c r="N79" s="103"/>
      <c r="O79" s="103"/>
      <c r="P79" s="103">
        <f>SUM(L79:L132)</f>
        <v>193.52749999999997</v>
      </c>
    </row>
    <row r="80" spans="3:16" x14ac:dyDescent="0.3">
      <c r="C80" s="106"/>
      <c r="D80" s="120" t="s">
        <v>127</v>
      </c>
      <c r="E80" s="144"/>
      <c r="F80" s="3"/>
      <c r="G80" s="122" t="s">
        <v>198</v>
      </c>
      <c r="H80" s="122"/>
      <c r="I80" s="122"/>
      <c r="J80" s="3"/>
      <c r="K80" s="122"/>
      <c r="L80" s="122"/>
      <c r="M80" s="113"/>
      <c r="N80" s="113"/>
      <c r="O80" s="113"/>
      <c r="P80" s="113"/>
    </row>
    <row r="81" spans="3:16" x14ac:dyDescent="0.3">
      <c r="C81" s="114"/>
      <c r="D81" s="258" t="s">
        <v>533</v>
      </c>
      <c r="E81" s="239" t="s">
        <v>0</v>
      </c>
      <c r="F81" s="235">
        <v>1</v>
      </c>
      <c r="G81" s="236">
        <v>1.05</v>
      </c>
      <c r="H81" s="236">
        <v>3.05</v>
      </c>
      <c r="I81" s="236"/>
      <c r="J81" s="235">
        <v>1</v>
      </c>
      <c r="K81" s="236"/>
      <c r="L81" s="236">
        <f t="shared" ref="L81:L92" si="13">IF(F81="","",PRODUCT(F81:J81))</f>
        <v>3.2025000000000001</v>
      </c>
      <c r="M81" s="111"/>
      <c r="N81" s="111"/>
      <c r="O81" s="111"/>
      <c r="P81" s="111"/>
    </row>
    <row r="82" spans="3:16" x14ac:dyDescent="0.3">
      <c r="C82" s="114"/>
      <c r="D82" s="258" t="s">
        <v>534</v>
      </c>
      <c r="E82" s="239" t="s">
        <v>0</v>
      </c>
      <c r="F82" s="235">
        <v>1</v>
      </c>
      <c r="G82" s="236">
        <v>1.8</v>
      </c>
      <c r="H82" s="236">
        <v>3.05</v>
      </c>
      <c r="I82" s="236"/>
      <c r="J82" s="235">
        <v>1</v>
      </c>
      <c r="K82" s="236"/>
      <c r="L82" s="236">
        <f t="shared" si="13"/>
        <v>5.49</v>
      </c>
      <c r="M82" s="111"/>
      <c r="N82" s="111"/>
      <c r="O82" s="111"/>
      <c r="P82" s="111"/>
    </row>
    <row r="83" spans="3:16" x14ac:dyDescent="0.3">
      <c r="C83" s="114"/>
      <c r="D83" s="258" t="s">
        <v>535</v>
      </c>
      <c r="E83" s="239" t="s">
        <v>0</v>
      </c>
      <c r="F83" s="235">
        <v>1</v>
      </c>
      <c r="G83" s="236">
        <v>0.6</v>
      </c>
      <c r="H83" s="236">
        <v>3.05</v>
      </c>
      <c r="I83" s="236"/>
      <c r="J83" s="235">
        <v>1</v>
      </c>
      <c r="K83" s="236"/>
      <c r="L83" s="236">
        <f t="shared" si="13"/>
        <v>1.8299999999999998</v>
      </c>
      <c r="M83" s="111"/>
      <c r="N83" s="111"/>
      <c r="O83" s="111"/>
      <c r="P83" s="111"/>
    </row>
    <row r="84" spans="3:16" x14ac:dyDescent="0.3">
      <c r="C84" s="114"/>
      <c r="D84" s="258" t="s">
        <v>536</v>
      </c>
      <c r="E84" s="239" t="s">
        <v>0</v>
      </c>
      <c r="F84" s="235">
        <v>1</v>
      </c>
      <c r="G84" s="236">
        <v>1.03</v>
      </c>
      <c r="H84" s="236">
        <v>3.05</v>
      </c>
      <c r="I84" s="236"/>
      <c r="J84" s="235">
        <v>1</v>
      </c>
      <c r="K84" s="236"/>
      <c r="L84" s="236">
        <f t="shared" si="13"/>
        <v>3.1414999999999997</v>
      </c>
      <c r="M84" s="111"/>
      <c r="N84" s="111"/>
      <c r="O84" s="111"/>
      <c r="P84" s="111"/>
    </row>
    <row r="85" spans="3:16" x14ac:dyDescent="0.3">
      <c r="C85" s="114"/>
      <c r="D85" s="258" t="s">
        <v>537</v>
      </c>
      <c r="E85" s="239" t="s">
        <v>0</v>
      </c>
      <c r="F85" s="235">
        <v>1</v>
      </c>
      <c r="G85" s="236">
        <f>0.25+1.18</f>
        <v>1.43</v>
      </c>
      <c r="H85" s="236">
        <v>2.95</v>
      </c>
      <c r="I85" s="236"/>
      <c r="J85" s="235">
        <v>1</v>
      </c>
      <c r="K85" s="236"/>
      <c r="L85" s="236">
        <f t="shared" si="13"/>
        <v>4.2184999999999997</v>
      </c>
      <c r="M85" s="111"/>
      <c r="N85" s="111"/>
      <c r="O85" s="111"/>
      <c r="P85" s="111"/>
    </row>
    <row r="86" spans="3:16" x14ac:dyDescent="0.3">
      <c r="C86" s="114"/>
      <c r="D86" s="258" t="s">
        <v>538</v>
      </c>
      <c r="E86" s="239" t="s">
        <v>0</v>
      </c>
      <c r="F86" s="235">
        <v>1</v>
      </c>
      <c r="G86" s="236">
        <v>0.7</v>
      </c>
      <c r="H86" s="236">
        <v>3.25</v>
      </c>
      <c r="I86" s="236"/>
      <c r="J86" s="235">
        <v>1</v>
      </c>
      <c r="K86" s="236"/>
      <c r="L86" s="236">
        <f t="shared" si="13"/>
        <v>2.2749999999999999</v>
      </c>
      <c r="M86" s="111"/>
      <c r="N86" s="111"/>
      <c r="O86" s="111"/>
      <c r="P86" s="111"/>
    </row>
    <row r="87" spans="3:16" x14ac:dyDescent="0.3">
      <c r="C87" s="114"/>
      <c r="D87" s="258" t="s">
        <v>539</v>
      </c>
      <c r="E87" s="239" t="s">
        <v>0</v>
      </c>
      <c r="F87" s="235">
        <v>1</v>
      </c>
      <c r="G87" s="236">
        <v>1.05</v>
      </c>
      <c r="H87" s="236">
        <v>3.05</v>
      </c>
      <c r="I87" s="236"/>
      <c r="J87" s="235">
        <v>1</v>
      </c>
      <c r="K87" s="236"/>
      <c r="L87" s="236">
        <f t="shared" si="13"/>
        <v>3.2025000000000001</v>
      </c>
      <c r="M87" s="111"/>
      <c r="N87" s="111"/>
      <c r="O87" s="111"/>
      <c r="P87" s="111"/>
    </row>
    <row r="88" spans="3:16" x14ac:dyDescent="0.3">
      <c r="C88" s="114"/>
      <c r="D88" s="258" t="s">
        <v>540</v>
      </c>
      <c r="E88" s="239" t="s">
        <v>0</v>
      </c>
      <c r="F88" s="235">
        <v>1</v>
      </c>
      <c r="G88" s="236">
        <f>1.05+0.6</f>
        <v>1.65</v>
      </c>
      <c r="H88" s="236">
        <v>3.05</v>
      </c>
      <c r="I88" s="236"/>
      <c r="J88" s="235">
        <v>1</v>
      </c>
      <c r="K88" s="236"/>
      <c r="L88" s="236">
        <f t="shared" si="13"/>
        <v>5.0324999999999998</v>
      </c>
      <c r="M88" s="111"/>
      <c r="N88" s="111"/>
      <c r="O88" s="111"/>
      <c r="P88" s="111"/>
    </row>
    <row r="89" spans="3:16" x14ac:dyDescent="0.3">
      <c r="C89" s="114"/>
      <c r="D89" s="258" t="s">
        <v>541</v>
      </c>
      <c r="E89" s="239" t="s">
        <v>0</v>
      </c>
      <c r="F89" s="235">
        <v>1</v>
      </c>
      <c r="G89" s="236">
        <v>0.88</v>
      </c>
      <c r="H89" s="236">
        <v>3.05</v>
      </c>
      <c r="I89" s="236"/>
      <c r="J89" s="235">
        <v>1</v>
      </c>
      <c r="K89" s="236"/>
      <c r="L89" s="236">
        <f t="shared" si="13"/>
        <v>2.6839999999999997</v>
      </c>
      <c r="M89" s="111"/>
      <c r="N89" s="111"/>
      <c r="O89" s="111"/>
      <c r="P89" s="111"/>
    </row>
    <row r="90" spans="3:16" x14ac:dyDescent="0.3">
      <c r="C90" s="114"/>
      <c r="D90" s="258" t="s">
        <v>542</v>
      </c>
      <c r="E90" s="239" t="s">
        <v>0</v>
      </c>
      <c r="F90" s="235">
        <v>1</v>
      </c>
      <c r="G90" s="236">
        <v>0.25</v>
      </c>
      <c r="H90" s="236">
        <v>3.25</v>
      </c>
      <c r="I90" s="236"/>
      <c r="J90" s="235">
        <v>1</v>
      </c>
      <c r="K90" s="236"/>
      <c r="L90" s="236">
        <f t="shared" si="13"/>
        <v>0.8125</v>
      </c>
      <c r="M90" s="111"/>
      <c r="N90" s="111"/>
      <c r="O90" s="111"/>
      <c r="P90" s="111"/>
    </row>
    <row r="91" spans="3:16" x14ac:dyDescent="0.3">
      <c r="C91" s="114"/>
      <c r="D91" s="258" t="s">
        <v>543</v>
      </c>
      <c r="E91" s="239" t="s">
        <v>0</v>
      </c>
      <c r="F91" s="235">
        <v>1</v>
      </c>
      <c r="G91" s="236">
        <v>0.7</v>
      </c>
      <c r="H91" s="236">
        <v>3.25</v>
      </c>
      <c r="I91" s="236"/>
      <c r="J91" s="235">
        <v>1</v>
      </c>
      <c r="K91" s="236"/>
      <c r="L91" s="236">
        <f t="shared" si="13"/>
        <v>2.2749999999999999</v>
      </c>
      <c r="M91" s="111"/>
      <c r="N91" s="111"/>
      <c r="O91" s="111"/>
      <c r="P91" s="111"/>
    </row>
    <row r="92" spans="3:16" x14ac:dyDescent="0.3">
      <c r="C92" s="114"/>
      <c r="D92" s="258" t="s">
        <v>544</v>
      </c>
      <c r="E92" s="239" t="s">
        <v>0</v>
      </c>
      <c r="F92" s="235">
        <v>1</v>
      </c>
      <c r="G92" s="236">
        <f>1.8+1.55</f>
        <v>3.35</v>
      </c>
      <c r="H92" s="236">
        <v>3.05</v>
      </c>
      <c r="I92" s="236"/>
      <c r="J92" s="235">
        <v>1</v>
      </c>
      <c r="K92" s="236"/>
      <c r="L92" s="236">
        <f t="shared" si="13"/>
        <v>10.217499999999999</v>
      </c>
      <c r="M92" s="111"/>
      <c r="N92" s="111"/>
      <c r="O92" s="111"/>
      <c r="P92" s="111"/>
    </row>
    <row r="93" spans="3:16" x14ac:dyDescent="0.3">
      <c r="C93" s="106"/>
      <c r="D93" s="120" t="s">
        <v>68</v>
      </c>
      <c r="E93" s="144"/>
      <c r="F93" s="3"/>
      <c r="G93" s="122" t="s">
        <v>198</v>
      </c>
      <c r="H93" s="122"/>
      <c r="I93" s="122"/>
      <c r="J93" s="3"/>
      <c r="K93" s="122"/>
      <c r="L93" s="122"/>
      <c r="M93" s="113"/>
      <c r="N93" s="113"/>
      <c r="O93" s="113"/>
      <c r="P93" s="113"/>
    </row>
    <row r="94" spans="3:16" x14ac:dyDescent="0.3">
      <c r="C94" s="114"/>
      <c r="D94" s="258" t="s">
        <v>533</v>
      </c>
      <c r="E94" s="239" t="s">
        <v>0</v>
      </c>
      <c r="F94" s="235">
        <v>1</v>
      </c>
      <c r="G94" s="236">
        <v>1.05</v>
      </c>
      <c r="H94" s="236">
        <v>3.05</v>
      </c>
      <c r="I94" s="236"/>
      <c r="J94" s="235">
        <v>1</v>
      </c>
      <c r="K94" s="236"/>
      <c r="L94" s="236">
        <f t="shared" ref="L94:L105" si="14">IF(F94="","",PRODUCT(F94:J94))</f>
        <v>3.2025000000000001</v>
      </c>
      <c r="M94" s="111"/>
      <c r="N94" s="111"/>
      <c r="O94" s="111"/>
      <c r="P94" s="111"/>
    </row>
    <row r="95" spans="3:16" x14ac:dyDescent="0.3">
      <c r="C95" s="114"/>
      <c r="D95" s="258" t="s">
        <v>534</v>
      </c>
      <c r="E95" s="239" t="s">
        <v>0</v>
      </c>
      <c r="F95" s="235">
        <v>1</v>
      </c>
      <c r="G95" s="236">
        <v>1.8</v>
      </c>
      <c r="H95" s="236">
        <v>3.05</v>
      </c>
      <c r="I95" s="236"/>
      <c r="J95" s="235">
        <v>1</v>
      </c>
      <c r="K95" s="236"/>
      <c r="L95" s="236">
        <f t="shared" si="14"/>
        <v>5.49</v>
      </c>
      <c r="M95" s="111"/>
      <c r="N95" s="111"/>
      <c r="O95" s="111"/>
      <c r="P95" s="111"/>
    </row>
    <row r="96" spans="3:16" x14ac:dyDescent="0.3">
      <c r="C96" s="114"/>
      <c r="D96" s="258" t="s">
        <v>535</v>
      </c>
      <c r="E96" s="239" t="s">
        <v>0</v>
      </c>
      <c r="F96" s="235">
        <v>1</v>
      </c>
      <c r="G96" s="236">
        <v>0.6</v>
      </c>
      <c r="H96" s="236">
        <v>3.05</v>
      </c>
      <c r="I96" s="236"/>
      <c r="J96" s="235">
        <v>1</v>
      </c>
      <c r="K96" s="236"/>
      <c r="L96" s="236">
        <f t="shared" si="14"/>
        <v>1.8299999999999998</v>
      </c>
      <c r="M96" s="111"/>
      <c r="N96" s="111"/>
      <c r="O96" s="111"/>
      <c r="P96" s="111"/>
    </row>
    <row r="97" spans="3:16" x14ac:dyDescent="0.3">
      <c r="C97" s="114"/>
      <c r="D97" s="258" t="s">
        <v>536</v>
      </c>
      <c r="E97" s="239" t="s">
        <v>0</v>
      </c>
      <c r="F97" s="235">
        <v>1</v>
      </c>
      <c r="G97" s="236">
        <v>1.03</v>
      </c>
      <c r="H97" s="236">
        <v>3.05</v>
      </c>
      <c r="I97" s="236"/>
      <c r="J97" s="235">
        <v>1</v>
      </c>
      <c r="K97" s="236"/>
      <c r="L97" s="236">
        <f t="shared" si="14"/>
        <v>3.1414999999999997</v>
      </c>
      <c r="M97" s="111"/>
      <c r="N97" s="111"/>
      <c r="O97" s="111"/>
      <c r="P97" s="111"/>
    </row>
    <row r="98" spans="3:16" x14ac:dyDescent="0.3">
      <c r="C98" s="114"/>
      <c r="D98" s="258" t="s">
        <v>537</v>
      </c>
      <c r="E98" s="239" t="s">
        <v>0</v>
      </c>
      <c r="F98" s="235">
        <v>1</v>
      </c>
      <c r="G98" s="236">
        <f>0.25+1.18</f>
        <v>1.43</v>
      </c>
      <c r="H98" s="236">
        <v>2.95</v>
      </c>
      <c r="I98" s="236"/>
      <c r="J98" s="235">
        <v>1</v>
      </c>
      <c r="K98" s="236"/>
      <c r="L98" s="236">
        <f t="shared" si="14"/>
        <v>4.2184999999999997</v>
      </c>
      <c r="M98" s="111"/>
      <c r="N98" s="111"/>
      <c r="O98" s="111"/>
      <c r="P98" s="111"/>
    </row>
    <row r="99" spans="3:16" x14ac:dyDescent="0.3">
      <c r="C99" s="114"/>
      <c r="D99" s="258" t="s">
        <v>538</v>
      </c>
      <c r="E99" s="239" t="s">
        <v>0</v>
      </c>
      <c r="F99" s="235">
        <v>1</v>
      </c>
      <c r="G99" s="236">
        <v>0.7</v>
      </c>
      <c r="H99" s="236">
        <v>3.25</v>
      </c>
      <c r="I99" s="236"/>
      <c r="J99" s="235">
        <v>1</v>
      </c>
      <c r="K99" s="236"/>
      <c r="L99" s="236">
        <f t="shared" si="14"/>
        <v>2.2749999999999999</v>
      </c>
      <c r="M99" s="111"/>
      <c r="N99" s="111"/>
      <c r="O99" s="111"/>
      <c r="P99" s="111"/>
    </row>
    <row r="100" spans="3:16" x14ac:dyDescent="0.3">
      <c r="C100" s="114"/>
      <c r="D100" s="258" t="s">
        <v>539</v>
      </c>
      <c r="E100" s="239" t="s">
        <v>0</v>
      </c>
      <c r="F100" s="235">
        <v>1</v>
      </c>
      <c r="G100" s="236">
        <v>1.05</v>
      </c>
      <c r="H100" s="236">
        <v>3.05</v>
      </c>
      <c r="I100" s="236"/>
      <c r="J100" s="235">
        <v>1</v>
      </c>
      <c r="K100" s="236"/>
      <c r="L100" s="236">
        <f t="shared" si="14"/>
        <v>3.2025000000000001</v>
      </c>
      <c r="M100" s="111"/>
      <c r="N100" s="111"/>
      <c r="O100" s="111"/>
      <c r="P100" s="111"/>
    </row>
    <row r="101" spans="3:16" x14ac:dyDescent="0.3">
      <c r="C101" s="114"/>
      <c r="D101" s="258" t="s">
        <v>540</v>
      </c>
      <c r="E101" s="239" t="s">
        <v>0</v>
      </c>
      <c r="F101" s="235">
        <v>1</v>
      </c>
      <c r="G101" s="236">
        <f>1.05+0.6</f>
        <v>1.65</v>
      </c>
      <c r="H101" s="236">
        <v>3.05</v>
      </c>
      <c r="I101" s="236"/>
      <c r="J101" s="235">
        <v>1</v>
      </c>
      <c r="K101" s="236"/>
      <c r="L101" s="236">
        <f t="shared" si="14"/>
        <v>5.0324999999999998</v>
      </c>
      <c r="M101" s="111"/>
      <c r="N101" s="111"/>
      <c r="O101" s="111"/>
      <c r="P101" s="111"/>
    </row>
    <row r="102" spans="3:16" x14ac:dyDescent="0.3">
      <c r="C102" s="114"/>
      <c r="D102" s="258" t="s">
        <v>541</v>
      </c>
      <c r="E102" s="239" t="s">
        <v>0</v>
      </c>
      <c r="F102" s="235">
        <v>1</v>
      </c>
      <c r="G102" s="236">
        <v>0.88</v>
      </c>
      <c r="H102" s="236">
        <v>3.05</v>
      </c>
      <c r="I102" s="236"/>
      <c r="J102" s="235">
        <v>1</v>
      </c>
      <c r="K102" s="236"/>
      <c r="L102" s="236">
        <f t="shared" si="14"/>
        <v>2.6839999999999997</v>
      </c>
      <c r="M102" s="111"/>
      <c r="N102" s="111"/>
      <c r="O102" s="111"/>
      <c r="P102" s="111"/>
    </row>
    <row r="103" spans="3:16" x14ac:dyDescent="0.3">
      <c r="C103" s="114"/>
      <c r="D103" s="258" t="s">
        <v>542</v>
      </c>
      <c r="E103" s="239" t="s">
        <v>0</v>
      </c>
      <c r="F103" s="235">
        <v>1</v>
      </c>
      <c r="G103" s="236">
        <v>0.25</v>
      </c>
      <c r="H103" s="236">
        <v>3.25</v>
      </c>
      <c r="I103" s="236"/>
      <c r="J103" s="235">
        <v>1</v>
      </c>
      <c r="K103" s="236"/>
      <c r="L103" s="236">
        <f t="shared" si="14"/>
        <v>0.8125</v>
      </c>
      <c r="M103" s="111"/>
      <c r="N103" s="111"/>
      <c r="O103" s="111"/>
      <c r="P103" s="111"/>
    </row>
    <row r="104" spans="3:16" x14ac:dyDescent="0.3">
      <c r="C104" s="114"/>
      <c r="D104" s="258" t="s">
        <v>543</v>
      </c>
      <c r="E104" s="239" t="s">
        <v>0</v>
      </c>
      <c r="F104" s="235">
        <v>1</v>
      </c>
      <c r="G104" s="236">
        <v>0.7</v>
      </c>
      <c r="H104" s="236">
        <v>3.25</v>
      </c>
      <c r="I104" s="236"/>
      <c r="J104" s="235">
        <v>1</v>
      </c>
      <c r="K104" s="236"/>
      <c r="L104" s="236">
        <f t="shared" si="14"/>
        <v>2.2749999999999999</v>
      </c>
      <c r="M104" s="111"/>
      <c r="N104" s="111"/>
      <c r="O104" s="111"/>
      <c r="P104" s="111"/>
    </row>
    <row r="105" spans="3:16" x14ac:dyDescent="0.3">
      <c r="C105" s="114"/>
      <c r="D105" s="258" t="s">
        <v>544</v>
      </c>
      <c r="E105" s="239" t="s">
        <v>0</v>
      </c>
      <c r="F105" s="235">
        <v>1</v>
      </c>
      <c r="G105" s="236">
        <f>1.8+1.55</f>
        <v>3.35</v>
      </c>
      <c r="H105" s="236">
        <v>3.05</v>
      </c>
      <c r="I105" s="236"/>
      <c r="J105" s="235">
        <v>1</v>
      </c>
      <c r="K105" s="236"/>
      <c r="L105" s="236">
        <f t="shared" si="14"/>
        <v>10.217499999999999</v>
      </c>
      <c r="M105" s="111"/>
      <c r="N105" s="111"/>
      <c r="O105" s="111"/>
      <c r="P105" s="111"/>
    </row>
    <row r="106" spans="3:16" x14ac:dyDescent="0.3">
      <c r="C106" s="106"/>
      <c r="D106" s="120" t="s">
        <v>106</v>
      </c>
      <c r="E106" s="144"/>
      <c r="F106" s="3"/>
      <c r="G106" s="122" t="s">
        <v>198</v>
      </c>
      <c r="H106" s="122"/>
      <c r="I106" s="122"/>
      <c r="J106" s="3"/>
      <c r="K106" s="122"/>
      <c r="L106" s="122"/>
      <c r="M106" s="113"/>
      <c r="N106" s="113"/>
      <c r="O106" s="113"/>
      <c r="P106" s="113"/>
    </row>
    <row r="107" spans="3:16" x14ac:dyDescent="0.3">
      <c r="C107" s="114"/>
      <c r="D107" s="258" t="s">
        <v>533</v>
      </c>
      <c r="E107" s="239" t="s">
        <v>0</v>
      </c>
      <c r="F107" s="235">
        <v>1</v>
      </c>
      <c r="G107" s="236">
        <v>1.05</v>
      </c>
      <c r="H107" s="236">
        <v>3.05</v>
      </c>
      <c r="I107" s="236"/>
      <c r="J107" s="235">
        <v>1</v>
      </c>
      <c r="K107" s="236"/>
      <c r="L107" s="236">
        <f t="shared" ref="L107:L118" si="15">IF(F107="","",PRODUCT(F107:J107))</f>
        <v>3.2025000000000001</v>
      </c>
      <c r="M107" s="111"/>
      <c r="N107" s="111"/>
      <c r="O107" s="111"/>
      <c r="P107" s="111"/>
    </row>
    <row r="108" spans="3:16" x14ac:dyDescent="0.3">
      <c r="C108" s="114"/>
      <c r="D108" s="258" t="s">
        <v>534</v>
      </c>
      <c r="E108" s="239" t="s">
        <v>0</v>
      </c>
      <c r="F108" s="235">
        <v>1</v>
      </c>
      <c r="G108" s="236">
        <v>1.8</v>
      </c>
      <c r="H108" s="236">
        <v>3.05</v>
      </c>
      <c r="I108" s="236"/>
      <c r="J108" s="235">
        <v>1</v>
      </c>
      <c r="K108" s="236"/>
      <c r="L108" s="236">
        <f t="shared" si="15"/>
        <v>5.49</v>
      </c>
      <c r="M108" s="111"/>
      <c r="N108" s="111"/>
      <c r="O108" s="111"/>
      <c r="P108" s="111"/>
    </row>
    <row r="109" spans="3:16" x14ac:dyDescent="0.3">
      <c r="C109" s="114"/>
      <c r="D109" s="258" t="s">
        <v>535</v>
      </c>
      <c r="E109" s="239" t="s">
        <v>0</v>
      </c>
      <c r="F109" s="235">
        <v>1</v>
      </c>
      <c r="G109" s="236">
        <v>0.6</v>
      </c>
      <c r="H109" s="236">
        <v>3.05</v>
      </c>
      <c r="I109" s="236"/>
      <c r="J109" s="235">
        <v>1</v>
      </c>
      <c r="K109" s="236"/>
      <c r="L109" s="236">
        <f t="shared" si="15"/>
        <v>1.8299999999999998</v>
      </c>
      <c r="M109" s="111"/>
      <c r="N109" s="111"/>
      <c r="O109" s="111"/>
      <c r="P109" s="111"/>
    </row>
    <row r="110" spans="3:16" x14ac:dyDescent="0.3">
      <c r="C110" s="114"/>
      <c r="D110" s="258" t="s">
        <v>536</v>
      </c>
      <c r="E110" s="239" t="s">
        <v>0</v>
      </c>
      <c r="F110" s="235">
        <v>1</v>
      </c>
      <c r="G110" s="236">
        <v>1.03</v>
      </c>
      <c r="H110" s="236">
        <v>3.05</v>
      </c>
      <c r="I110" s="236"/>
      <c r="J110" s="235">
        <v>1</v>
      </c>
      <c r="K110" s="236"/>
      <c r="L110" s="236">
        <f t="shared" si="15"/>
        <v>3.1414999999999997</v>
      </c>
      <c r="M110" s="111"/>
      <c r="N110" s="111"/>
      <c r="O110" s="111"/>
      <c r="P110" s="111"/>
    </row>
    <row r="111" spans="3:16" x14ac:dyDescent="0.3">
      <c r="C111" s="114"/>
      <c r="D111" s="258" t="s">
        <v>537</v>
      </c>
      <c r="E111" s="239" t="s">
        <v>0</v>
      </c>
      <c r="F111" s="235">
        <v>1</v>
      </c>
      <c r="G111" s="236">
        <f>0.25+1.18</f>
        <v>1.43</v>
      </c>
      <c r="H111" s="236">
        <v>2.95</v>
      </c>
      <c r="I111" s="236"/>
      <c r="J111" s="235">
        <v>1</v>
      </c>
      <c r="K111" s="236"/>
      <c r="L111" s="236">
        <f t="shared" si="15"/>
        <v>4.2184999999999997</v>
      </c>
      <c r="M111" s="111"/>
      <c r="N111" s="111"/>
      <c r="O111" s="111"/>
      <c r="P111" s="111"/>
    </row>
    <row r="112" spans="3:16" x14ac:dyDescent="0.3">
      <c r="C112" s="114"/>
      <c r="D112" s="258" t="s">
        <v>538</v>
      </c>
      <c r="E112" s="239" t="s">
        <v>0</v>
      </c>
      <c r="F112" s="235">
        <v>1</v>
      </c>
      <c r="G112" s="236">
        <v>0.7</v>
      </c>
      <c r="H112" s="236">
        <v>3.25</v>
      </c>
      <c r="I112" s="236"/>
      <c r="J112" s="235">
        <v>1</v>
      </c>
      <c r="K112" s="236"/>
      <c r="L112" s="236">
        <f t="shared" si="15"/>
        <v>2.2749999999999999</v>
      </c>
      <c r="M112" s="111"/>
      <c r="N112" s="111"/>
      <c r="O112" s="111"/>
      <c r="P112" s="111"/>
    </row>
    <row r="113" spans="3:16" x14ac:dyDescent="0.3">
      <c r="C113" s="114"/>
      <c r="D113" s="258" t="s">
        <v>539</v>
      </c>
      <c r="E113" s="239" t="s">
        <v>0</v>
      </c>
      <c r="F113" s="235">
        <v>1</v>
      </c>
      <c r="G113" s="236">
        <v>1.05</v>
      </c>
      <c r="H113" s="236">
        <v>3.05</v>
      </c>
      <c r="I113" s="236"/>
      <c r="J113" s="235">
        <v>1</v>
      </c>
      <c r="K113" s="236"/>
      <c r="L113" s="236">
        <f t="shared" si="15"/>
        <v>3.2025000000000001</v>
      </c>
      <c r="M113" s="111"/>
      <c r="N113" s="111"/>
      <c r="O113" s="111"/>
      <c r="P113" s="111"/>
    </row>
    <row r="114" spans="3:16" x14ac:dyDescent="0.3">
      <c r="C114" s="114"/>
      <c r="D114" s="258" t="s">
        <v>540</v>
      </c>
      <c r="E114" s="239" t="s">
        <v>0</v>
      </c>
      <c r="F114" s="235">
        <v>1</v>
      </c>
      <c r="G114" s="236">
        <f>1.05+0.6</f>
        <v>1.65</v>
      </c>
      <c r="H114" s="236">
        <v>3.05</v>
      </c>
      <c r="I114" s="236"/>
      <c r="J114" s="235">
        <v>1</v>
      </c>
      <c r="K114" s="236"/>
      <c r="L114" s="236">
        <f t="shared" si="15"/>
        <v>5.0324999999999998</v>
      </c>
      <c r="M114" s="111"/>
      <c r="N114" s="111"/>
      <c r="O114" s="111"/>
      <c r="P114" s="111"/>
    </row>
    <row r="115" spans="3:16" x14ac:dyDescent="0.3">
      <c r="C115" s="114"/>
      <c r="D115" s="258" t="s">
        <v>541</v>
      </c>
      <c r="E115" s="239" t="s">
        <v>0</v>
      </c>
      <c r="F115" s="235">
        <v>1</v>
      </c>
      <c r="G115" s="236">
        <v>0.88</v>
      </c>
      <c r="H115" s="236">
        <v>3.05</v>
      </c>
      <c r="I115" s="236"/>
      <c r="J115" s="235">
        <v>1</v>
      </c>
      <c r="K115" s="236"/>
      <c r="L115" s="236">
        <f t="shared" si="15"/>
        <v>2.6839999999999997</v>
      </c>
      <c r="M115" s="111"/>
      <c r="N115" s="111"/>
      <c r="O115" s="111"/>
      <c r="P115" s="111"/>
    </row>
    <row r="116" spans="3:16" x14ac:dyDescent="0.3">
      <c r="C116" s="114"/>
      <c r="D116" s="258" t="s">
        <v>542</v>
      </c>
      <c r="E116" s="239" t="s">
        <v>0</v>
      </c>
      <c r="F116" s="235">
        <v>1</v>
      </c>
      <c r="G116" s="236">
        <v>0.25</v>
      </c>
      <c r="H116" s="236">
        <v>3.25</v>
      </c>
      <c r="I116" s="236"/>
      <c r="J116" s="235">
        <v>1</v>
      </c>
      <c r="K116" s="236"/>
      <c r="L116" s="236">
        <f t="shared" si="15"/>
        <v>0.8125</v>
      </c>
      <c r="M116" s="111"/>
      <c r="N116" s="111"/>
      <c r="O116" s="111"/>
      <c r="P116" s="111"/>
    </row>
    <row r="117" spans="3:16" x14ac:dyDescent="0.3">
      <c r="C117" s="114"/>
      <c r="D117" s="258" t="s">
        <v>543</v>
      </c>
      <c r="E117" s="239" t="s">
        <v>0</v>
      </c>
      <c r="F117" s="235">
        <v>1</v>
      </c>
      <c r="G117" s="236">
        <v>0.7</v>
      </c>
      <c r="H117" s="236">
        <v>3.25</v>
      </c>
      <c r="I117" s="236"/>
      <c r="J117" s="235">
        <v>1</v>
      </c>
      <c r="K117" s="236"/>
      <c r="L117" s="236">
        <f t="shared" si="15"/>
        <v>2.2749999999999999</v>
      </c>
      <c r="M117" s="111"/>
      <c r="N117" s="111"/>
      <c r="O117" s="111"/>
      <c r="P117" s="111"/>
    </row>
    <row r="118" spans="3:16" x14ac:dyDescent="0.3">
      <c r="C118" s="114"/>
      <c r="D118" s="258" t="s">
        <v>544</v>
      </c>
      <c r="E118" s="239" t="s">
        <v>0</v>
      </c>
      <c r="F118" s="235">
        <v>1</v>
      </c>
      <c r="G118" s="236">
        <f>1.8+1.55</f>
        <v>3.35</v>
      </c>
      <c r="H118" s="236">
        <v>3.05</v>
      </c>
      <c r="I118" s="236"/>
      <c r="J118" s="235">
        <v>1</v>
      </c>
      <c r="K118" s="236"/>
      <c r="L118" s="236">
        <f t="shared" si="15"/>
        <v>10.217499999999999</v>
      </c>
      <c r="M118" s="111"/>
      <c r="N118" s="111"/>
      <c r="O118" s="111"/>
      <c r="P118" s="111"/>
    </row>
    <row r="119" spans="3:16" x14ac:dyDescent="0.3">
      <c r="C119" s="106"/>
      <c r="D119" s="120" t="s">
        <v>51</v>
      </c>
      <c r="E119" s="144"/>
      <c r="F119" s="3"/>
      <c r="G119" s="122" t="s">
        <v>198</v>
      </c>
      <c r="H119" s="122"/>
      <c r="I119" s="122"/>
      <c r="J119" s="3"/>
      <c r="K119" s="122"/>
      <c r="L119" s="122"/>
      <c r="M119" s="113"/>
      <c r="N119" s="113"/>
      <c r="O119" s="113"/>
      <c r="P119" s="113"/>
    </row>
    <row r="120" spans="3:16" x14ac:dyDescent="0.3">
      <c r="C120" s="114"/>
      <c r="D120" s="258" t="s">
        <v>533</v>
      </c>
      <c r="E120" s="239" t="s">
        <v>0</v>
      </c>
      <c r="F120" s="235">
        <v>1</v>
      </c>
      <c r="G120" s="236">
        <v>1.05</v>
      </c>
      <c r="H120" s="236">
        <v>4.05</v>
      </c>
      <c r="I120" s="236"/>
      <c r="J120" s="235">
        <v>1</v>
      </c>
      <c r="K120" s="236"/>
      <c r="L120" s="236">
        <f t="shared" ref="L120:L131" si="16">IF(F120="","",PRODUCT(F120:J120))</f>
        <v>4.2525000000000004</v>
      </c>
      <c r="M120" s="111"/>
      <c r="N120" s="111"/>
      <c r="O120" s="111"/>
      <c r="P120" s="111"/>
    </row>
    <row r="121" spans="3:16" x14ac:dyDescent="0.3">
      <c r="C121" s="114"/>
      <c r="D121" s="258" t="s">
        <v>534</v>
      </c>
      <c r="E121" s="239" t="s">
        <v>0</v>
      </c>
      <c r="F121" s="235">
        <v>1</v>
      </c>
      <c r="G121" s="236">
        <v>1.8</v>
      </c>
      <c r="H121" s="236">
        <v>4.05</v>
      </c>
      <c r="I121" s="236"/>
      <c r="J121" s="235">
        <v>1</v>
      </c>
      <c r="K121" s="236"/>
      <c r="L121" s="236">
        <f t="shared" si="16"/>
        <v>7.29</v>
      </c>
      <c r="M121" s="111"/>
      <c r="N121" s="111"/>
      <c r="O121" s="111"/>
      <c r="P121" s="111"/>
    </row>
    <row r="122" spans="3:16" x14ac:dyDescent="0.3">
      <c r="C122" s="114"/>
      <c r="D122" s="258" t="s">
        <v>535</v>
      </c>
      <c r="E122" s="239" t="s">
        <v>0</v>
      </c>
      <c r="F122" s="235">
        <v>1</v>
      </c>
      <c r="G122" s="236">
        <v>1.03</v>
      </c>
      <c r="H122" s="236">
        <v>4.05</v>
      </c>
      <c r="I122" s="236"/>
      <c r="J122" s="235">
        <v>1</v>
      </c>
      <c r="K122" s="236"/>
      <c r="L122" s="236">
        <f t="shared" si="16"/>
        <v>4.1715</v>
      </c>
      <c r="M122" s="111"/>
      <c r="N122" s="111"/>
      <c r="O122" s="111"/>
      <c r="P122" s="111"/>
    </row>
    <row r="123" spans="3:16" x14ac:dyDescent="0.3">
      <c r="C123" s="114"/>
      <c r="D123" s="258" t="s">
        <v>536</v>
      </c>
      <c r="E123" s="239" t="s">
        <v>0</v>
      </c>
      <c r="F123" s="235">
        <v>1</v>
      </c>
      <c r="G123" s="236">
        <v>0.25</v>
      </c>
      <c r="H123" s="236">
        <v>3.95</v>
      </c>
      <c r="I123" s="236"/>
      <c r="J123" s="235">
        <v>1</v>
      </c>
      <c r="K123" s="236"/>
      <c r="L123" s="236">
        <f t="shared" si="16"/>
        <v>0.98750000000000004</v>
      </c>
      <c r="M123" s="111"/>
      <c r="N123" s="111"/>
      <c r="O123" s="111"/>
      <c r="P123" s="111"/>
    </row>
    <row r="124" spans="3:16" x14ac:dyDescent="0.3">
      <c r="C124" s="114"/>
      <c r="D124" s="258" t="s">
        <v>537</v>
      </c>
      <c r="E124" s="239" t="s">
        <v>0</v>
      </c>
      <c r="F124" s="235">
        <v>1</v>
      </c>
      <c r="G124" s="236">
        <v>1.4</v>
      </c>
      <c r="H124" s="236">
        <v>4.25</v>
      </c>
      <c r="I124" s="236"/>
      <c r="J124" s="235">
        <v>1</v>
      </c>
      <c r="K124" s="236"/>
      <c r="L124" s="236">
        <f t="shared" si="16"/>
        <v>5.9499999999999993</v>
      </c>
      <c r="M124" s="111"/>
      <c r="N124" s="111"/>
      <c r="O124" s="111"/>
      <c r="P124" s="111"/>
    </row>
    <row r="125" spans="3:16" x14ac:dyDescent="0.3">
      <c r="C125" s="114"/>
      <c r="D125" s="258" t="s">
        <v>538</v>
      </c>
      <c r="E125" s="239" t="s">
        <v>0</v>
      </c>
      <c r="F125" s="235">
        <v>1</v>
      </c>
      <c r="G125" s="236">
        <v>0.7</v>
      </c>
      <c r="H125" s="236">
        <v>4.05</v>
      </c>
      <c r="I125" s="236"/>
      <c r="J125" s="235">
        <v>1</v>
      </c>
      <c r="K125" s="236"/>
      <c r="L125" s="236">
        <f t="shared" si="16"/>
        <v>2.8349999999999995</v>
      </c>
      <c r="M125" s="111"/>
      <c r="N125" s="111"/>
      <c r="O125" s="111"/>
      <c r="P125" s="111"/>
    </row>
    <row r="126" spans="3:16" x14ac:dyDescent="0.3">
      <c r="C126" s="114"/>
      <c r="D126" s="258" t="s">
        <v>539</v>
      </c>
      <c r="E126" s="239" t="s">
        <v>0</v>
      </c>
      <c r="F126" s="235">
        <v>1</v>
      </c>
      <c r="G126" s="236">
        <v>1.45</v>
      </c>
      <c r="H126" s="236">
        <v>4.25</v>
      </c>
      <c r="I126" s="236"/>
      <c r="J126" s="235">
        <v>1</v>
      </c>
      <c r="K126" s="236"/>
      <c r="L126" s="236">
        <f t="shared" si="16"/>
        <v>6.1624999999999996</v>
      </c>
      <c r="M126" s="111"/>
      <c r="N126" s="111"/>
      <c r="O126" s="111"/>
      <c r="P126" s="111"/>
    </row>
    <row r="127" spans="3:16" x14ac:dyDescent="0.3">
      <c r="C127" s="114"/>
      <c r="D127" s="258" t="s">
        <v>540</v>
      </c>
      <c r="E127" s="239" t="s">
        <v>0</v>
      </c>
      <c r="F127" s="235">
        <v>1</v>
      </c>
      <c r="G127" s="236">
        <v>0.6</v>
      </c>
      <c r="H127" s="236">
        <v>4.25</v>
      </c>
      <c r="I127" s="236"/>
      <c r="J127" s="235">
        <v>1</v>
      </c>
      <c r="K127" s="236"/>
      <c r="L127" s="236">
        <f t="shared" si="16"/>
        <v>2.5499999999999998</v>
      </c>
      <c r="M127" s="111"/>
      <c r="N127" s="111"/>
      <c r="O127" s="111"/>
      <c r="P127" s="111"/>
    </row>
    <row r="128" spans="3:16" x14ac:dyDescent="0.3">
      <c r="C128" s="114"/>
      <c r="D128" s="258" t="s">
        <v>541</v>
      </c>
      <c r="E128" s="239" t="s">
        <v>0</v>
      </c>
      <c r="F128" s="235">
        <v>1</v>
      </c>
      <c r="G128" s="236">
        <v>0.88</v>
      </c>
      <c r="H128" s="236">
        <v>4.05</v>
      </c>
      <c r="I128" s="236"/>
      <c r="J128" s="235">
        <v>1</v>
      </c>
      <c r="K128" s="236"/>
      <c r="L128" s="236">
        <f t="shared" si="16"/>
        <v>3.5640000000000001</v>
      </c>
      <c r="M128" s="111"/>
      <c r="N128" s="111"/>
      <c r="O128" s="111"/>
      <c r="P128" s="111"/>
    </row>
    <row r="129" spans="3:16" x14ac:dyDescent="0.3">
      <c r="C129" s="114"/>
      <c r="D129" s="258" t="s">
        <v>542</v>
      </c>
      <c r="E129" s="239" t="s">
        <v>0</v>
      </c>
      <c r="F129" s="235">
        <v>1</v>
      </c>
      <c r="G129" s="236">
        <v>1.43</v>
      </c>
      <c r="H129" s="236">
        <v>4.25</v>
      </c>
      <c r="I129" s="236"/>
      <c r="J129" s="235">
        <v>1</v>
      </c>
      <c r="K129" s="236"/>
      <c r="L129" s="236">
        <f t="shared" si="16"/>
        <v>6.0774999999999997</v>
      </c>
      <c r="M129" s="111"/>
      <c r="N129" s="111"/>
      <c r="O129" s="111"/>
      <c r="P129" s="111"/>
    </row>
    <row r="130" spans="3:16" x14ac:dyDescent="0.3">
      <c r="C130" s="114"/>
      <c r="D130" s="258" t="s">
        <v>543</v>
      </c>
      <c r="E130" s="239" t="s">
        <v>0</v>
      </c>
      <c r="F130" s="235">
        <v>1</v>
      </c>
      <c r="G130" s="236">
        <v>0.7</v>
      </c>
      <c r="H130" s="236">
        <v>4.25</v>
      </c>
      <c r="I130" s="236"/>
      <c r="J130" s="235">
        <v>1</v>
      </c>
      <c r="K130" s="236"/>
      <c r="L130" s="236">
        <f t="shared" si="16"/>
        <v>2.9749999999999996</v>
      </c>
      <c r="M130" s="111"/>
      <c r="N130" s="111"/>
      <c r="O130" s="111"/>
      <c r="P130" s="111"/>
    </row>
    <row r="131" spans="3:16" x14ac:dyDescent="0.3">
      <c r="C131" s="114"/>
      <c r="D131" s="258" t="s">
        <v>544</v>
      </c>
      <c r="E131" s="239" t="s">
        <v>0</v>
      </c>
      <c r="F131" s="235">
        <v>1</v>
      </c>
      <c r="G131" s="236">
        <f>1.8+1.55</f>
        <v>3.35</v>
      </c>
      <c r="H131" s="236">
        <v>4.05</v>
      </c>
      <c r="I131" s="236"/>
      <c r="J131" s="235">
        <v>1</v>
      </c>
      <c r="K131" s="236"/>
      <c r="L131" s="236">
        <f t="shared" si="16"/>
        <v>13.567499999999999</v>
      </c>
      <c r="M131" s="111"/>
      <c r="N131" s="111"/>
      <c r="O131" s="111"/>
      <c r="P131" s="111"/>
    </row>
    <row r="132" spans="3:16" x14ac:dyDescent="0.3">
      <c r="C132" s="114"/>
      <c r="D132" s="265"/>
      <c r="E132" s="116"/>
      <c r="F132" s="109"/>
      <c r="G132" s="110"/>
      <c r="H132" s="110"/>
      <c r="I132" s="110"/>
      <c r="J132" s="109"/>
      <c r="K132" s="110"/>
      <c r="L132" s="110"/>
      <c r="M132" s="111"/>
      <c r="N132" s="111"/>
      <c r="O132" s="111"/>
      <c r="P132" s="111"/>
    </row>
    <row r="133" spans="3:16" x14ac:dyDescent="0.3">
      <c r="C133" s="99" t="s">
        <v>1183</v>
      </c>
      <c r="D133" s="100" t="s">
        <v>519</v>
      </c>
      <c r="E133" s="101" t="s">
        <v>0</v>
      </c>
      <c r="F133" s="1"/>
      <c r="G133" s="2"/>
      <c r="H133" s="2"/>
      <c r="I133" s="2"/>
      <c r="J133" s="3"/>
      <c r="K133" s="122"/>
      <c r="L133" s="122"/>
      <c r="M133" s="103"/>
      <c r="N133" s="103"/>
      <c r="O133" s="103"/>
      <c r="P133" s="103">
        <f>SUM(L133:L191)</f>
        <v>35.512000000000008</v>
      </c>
    </row>
    <row r="134" spans="3:16" x14ac:dyDescent="0.3">
      <c r="C134" s="106"/>
      <c r="D134" s="120" t="s">
        <v>127</v>
      </c>
      <c r="E134" s="144"/>
      <c r="F134" s="3"/>
      <c r="G134" s="122"/>
      <c r="H134" s="122"/>
      <c r="I134" s="122"/>
      <c r="J134" s="3"/>
      <c r="K134" s="122"/>
      <c r="L134" s="122"/>
      <c r="M134" s="113"/>
      <c r="N134" s="113"/>
      <c r="O134" s="113"/>
      <c r="P134" s="113"/>
    </row>
    <row r="135" spans="3:16" x14ac:dyDescent="0.3">
      <c r="C135" s="114"/>
      <c r="D135" s="258" t="s">
        <v>545</v>
      </c>
      <c r="E135" s="234" t="s">
        <v>0</v>
      </c>
      <c r="F135" s="235">
        <v>1</v>
      </c>
      <c r="G135" s="236">
        <v>2.35</v>
      </c>
      <c r="H135" s="236">
        <v>0.1</v>
      </c>
      <c r="I135" s="236">
        <f>0.2</f>
        <v>0.2</v>
      </c>
      <c r="J135" s="235">
        <v>1</v>
      </c>
      <c r="K135" s="249"/>
      <c r="L135" s="237">
        <f>((I135)+H135)*F135*G135*J135</f>
        <v>0.70500000000000018</v>
      </c>
      <c r="M135" s="111"/>
      <c r="N135" s="111"/>
      <c r="O135" s="111"/>
      <c r="P135" s="111"/>
    </row>
    <row r="136" spans="3:16" x14ac:dyDescent="0.3">
      <c r="C136" s="114"/>
      <c r="D136" s="258" t="s">
        <v>546</v>
      </c>
      <c r="E136" s="239" t="s">
        <v>0</v>
      </c>
      <c r="F136" s="235">
        <v>1</v>
      </c>
      <c r="G136" s="236">
        <v>2.35</v>
      </c>
      <c r="H136" s="236">
        <v>0.25</v>
      </c>
      <c r="I136" s="236">
        <v>0.4</v>
      </c>
      <c r="J136" s="235">
        <v>1</v>
      </c>
      <c r="K136" s="236"/>
      <c r="L136" s="237">
        <f t="shared" ref="L136:L147" si="17">((I136)+H136)*F136*G136*J136</f>
        <v>1.5275000000000001</v>
      </c>
      <c r="M136" s="111"/>
      <c r="N136" s="111"/>
      <c r="O136" s="111"/>
      <c r="P136" s="111"/>
    </row>
    <row r="137" spans="3:16" x14ac:dyDescent="0.3">
      <c r="C137" s="114"/>
      <c r="D137" s="258" t="s">
        <v>547</v>
      </c>
      <c r="E137" s="239" t="s">
        <v>0</v>
      </c>
      <c r="F137" s="235">
        <v>1</v>
      </c>
      <c r="G137" s="236">
        <v>1</v>
      </c>
      <c r="H137" s="236">
        <v>0.25</v>
      </c>
      <c r="I137" s="236">
        <v>0.4</v>
      </c>
      <c r="J137" s="235">
        <v>1</v>
      </c>
      <c r="K137" s="236"/>
      <c r="L137" s="237">
        <f t="shared" si="17"/>
        <v>0.65</v>
      </c>
      <c r="M137" s="111"/>
      <c r="N137" s="111"/>
      <c r="O137" s="111"/>
      <c r="P137" s="111"/>
    </row>
    <row r="138" spans="3:16" x14ac:dyDescent="0.3">
      <c r="C138" s="114"/>
      <c r="D138" s="258"/>
      <c r="E138" s="239" t="s">
        <v>0</v>
      </c>
      <c r="F138" s="235">
        <v>1</v>
      </c>
      <c r="G138" s="236">
        <v>1</v>
      </c>
      <c r="H138" s="236">
        <v>0.1</v>
      </c>
      <c r="I138" s="236">
        <v>0.4</v>
      </c>
      <c r="J138" s="235">
        <v>1</v>
      </c>
      <c r="K138" s="236"/>
      <c r="L138" s="237">
        <f t="shared" si="17"/>
        <v>0.5</v>
      </c>
      <c r="M138" s="111"/>
      <c r="N138" s="111"/>
      <c r="O138" s="111"/>
      <c r="P138" s="111"/>
    </row>
    <row r="139" spans="3:16" x14ac:dyDescent="0.3">
      <c r="C139" s="114"/>
      <c r="D139" s="266" t="s">
        <v>548</v>
      </c>
      <c r="E139" s="239" t="s">
        <v>0</v>
      </c>
      <c r="F139" s="235">
        <v>1</v>
      </c>
      <c r="G139" s="236">
        <v>0.6</v>
      </c>
      <c r="H139" s="236">
        <v>0.25</v>
      </c>
      <c r="I139" s="236">
        <v>0.4</v>
      </c>
      <c r="J139" s="235">
        <v>1</v>
      </c>
      <c r="K139" s="236"/>
      <c r="L139" s="237">
        <f t="shared" si="17"/>
        <v>0.39</v>
      </c>
      <c r="M139" s="111"/>
      <c r="N139" s="111"/>
      <c r="O139" s="111"/>
      <c r="P139" s="111"/>
    </row>
    <row r="140" spans="3:16" x14ac:dyDescent="0.3">
      <c r="C140" s="114"/>
      <c r="D140" s="258"/>
      <c r="E140" s="239"/>
      <c r="F140" s="235"/>
      <c r="G140" s="236">
        <v>2.85</v>
      </c>
      <c r="H140" s="236">
        <v>0.1</v>
      </c>
      <c r="I140" s="236">
        <v>0.4</v>
      </c>
      <c r="J140" s="235"/>
      <c r="K140" s="236"/>
      <c r="L140" s="237"/>
      <c r="M140" s="111"/>
      <c r="N140" s="111"/>
      <c r="O140" s="111"/>
      <c r="P140" s="111"/>
    </row>
    <row r="141" spans="3:16" x14ac:dyDescent="0.3">
      <c r="C141" s="114"/>
      <c r="D141" s="258" t="s">
        <v>549</v>
      </c>
      <c r="E141" s="239" t="s">
        <v>0</v>
      </c>
      <c r="F141" s="235">
        <v>1</v>
      </c>
      <c r="G141" s="236">
        <v>3.35</v>
      </c>
      <c r="H141" s="236">
        <v>0.35</v>
      </c>
      <c r="I141" s="236"/>
      <c r="J141" s="235">
        <v>1</v>
      </c>
      <c r="K141" s="236"/>
      <c r="L141" s="237">
        <f t="shared" si="17"/>
        <v>1.1724999999999999</v>
      </c>
      <c r="M141" s="111"/>
      <c r="N141" s="111"/>
      <c r="O141" s="111"/>
      <c r="P141" s="111"/>
    </row>
    <row r="142" spans="3:16" x14ac:dyDescent="0.3">
      <c r="C142" s="114"/>
      <c r="D142" s="258" t="s">
        <v>550</v>
      </c>
      <c r="E142" s="239" t="s">
        <v>0</v>
      </c>
      <c r="F142" s="235">
        <v>1</v>
      </c>
      <c r="G142" s="236">
        <v>2.82</v>
      </c>
      <c r="H142" s="236"/>
      <c r="I142" s="236">
        <v>0.2</v>
      </c>
      <c r="J142" s="235">
        <v>1</v>
      </c>
      <c r="K142" s="236"/>
      <c r="L142" s="237">
        <f t="shared" si="17"/>
        <v>0.56399999999999995</v>
      </c>
      <c r="M142" s="111"/>
      <c r="N142" s="111"/>
      <c r="O142" s="111"/>
      <c r="P142" s="111"/>
    </row>
    <row r="143" spans="3:16" x14ac:dyDescent="0.3">
      <c r="C143" s="114"/>
      <c r="D143" s="258" t="s">
        <v>551</v>
      </c>
      <c r="E143" s="239" t="s">
        <v>0</v>
      </c>
      <c r="F143" s="235">
        <v>1</v>
      </c>
      <c r="G143" s="236">
        <v>1.9</v>
      </c>
      <c r="H143" s="236"/>
      <c r="I143" s="236">
        <v>0.2</v>
      </c>
      <c r="J143" s="235">
        <v>1</v>
      </c>
      <c r="K143" s="236"/>
      <c r="L143" s="237">
        <f t="shared" si="17"/>
        <v>0.38</v>
      </c>
      <c r="M143" s="111"/>
      <c r="N143" s="111"/>
      <c r="O143" s="111"/>
      <c r="P143" s="111"/>
    </row>
    <row r="144" spans="3:16" x14ac:dyDescent="0.3">
      <c r="C144" s="114"/>
      <c r="D144" s="258" t="s">
        <v>552</v>
      </c>
      <c r="E144" s="239" t="s">
        <v>0</v>
      </c>
      <c r="F144" s="235">
        <v>1</v>
      </c>
      <c r="G144" s="236">
        <v>2.95</v>
      </c>
      <c r="H144" s="236">
        <v>0.25</v>
      </c>
      <c r="I144" s="236"/>
      <c r="J144" s="235">
        <v>1</v>
      </c>
      <c r="K144" s="236"/>
      <c r="L144" s="237">
        <f t="shared" si="17"/>
        <v>0.73750000000000004</v>
      </c>
      <c r="M144" s="111"/>
      <c r="N144" s="111"/>
      <c r="O144" s="111"/>
      <c r="P144" s="111"/>
    </row>
    <row r="145" spans="3:16" x14ac:dyDescent="0.3">
      <c r="C145" s="114"/>
      <c r="D145" s="258" t="s">
        <v>553</v>
      </c>
      <c r="E145" s="239" t="s">
        <v>0</v>
      </c>
      <c r="F145" s="235">
        <v>1</v>
      </c>
      <c r="G145" s="236">
        <v>2.82</v>
      </c>
      <c r="H145" s="236"/>
      <c r="I145" s="236">
        <v>0.2</v>
      </c>
      <c r="J145" s="235">
        <v>1</v>
      </c>
      <c r="K145" s="236"/>
      <c r="L145" s="237">
        <f t="shared" si="17"/>
        <v>0.56399999999999995</v>
      </c>
      <c r="M145" s="111"/>
      <c r="N145" s="111"/>
      <c r="O145" s="111"/>
      <c r="P145" s="111"/>
    </row>
    <row r="146" spans="3:16" x14ac:dyDescent="0.3">
      <c r="C146" s="114"/>
      <c r="D146" s="258" t="s">
        <v>554</v>
      </c>
      <c r="E146" s="239" t="s">
        <v>0</v>
      </c>
      <c r="F146" s="235">
        <v>1</v>
      </c>
      <c r="G146" s="236">
        <v>1.9</v>
      </c>
      <c r="H146" s="236"/>
      <c r="I146" s="236">
        <v>0.2</v>
      </c>
      <c r="J146" s="235">
        <v>1</v>
      </c>
      <c r="K146" s="236"/>
      <c r="L146" s="237">
        <f t="shared" si="17"/>
        <v>0.38</v>
      </c>
      <c r="M146" s="111"/>
      <c r="N146" s="111"/>
      <c r="O146" s="111"/>
      <c r="P146" s="111"/>
    </row>
    <row r="147" spans="3:16" x14ac:dyDescent="0.3">
      <c r="C147" s="114"/>
      <c r="D147" s="258" t="s">
        <v>555</v>
      </c>
      <c r="E147" s="239" t="s">
        <v>0</v>
      </c>
      <c r="F147" s="235">
        <v>1</v>
      </c>
      <c r="G147" s="236">
        <v>2.95</v>
      </c>
      <c r="H147" s="236">
        <v>0.25</v>
      </c>
      <c r="I147" s="236"/>
      <c r="J147" s="235">
        <v>1</v>
      </c>
      <c r="K147" s="236"/>
      <c r="L147" s="237">
        <f t="shared" si="17"/>
        <v>0.73750000000000004</v>
      </c>
      <c r="M147" s="111"/>
      <c r="N147" s="111"/>
      <c r="O147" s="111"/>
      <c r="P147" s="111"/>
    </row>
    <row r="148" spans="3:16" x14ac:dyDescent="0.3">
      <c r="C148" s="106"/>
      <c r="D148" s="120" t="s">
        <v>68</v>
      </c>
      <c r="E148" s="144"/>
      <c r="F148" s="3"/>
      <c r="G148" s="122"/>
      <c r="H148" s="122"/>
      <c r="I148" s="122" t="s">
        <v>556</v>
      </c>
      <c r="J148" s="3"/>
      <c r="K148" s="122"/>
      <c r="L148" s="122"/>
      <c r="M148" s="113"/>
      <c r="N148" s="113"/>
      <c r="O148" s="113"/>
      <c r="P148" s="113"/>
    </row>
    <row r="149" spans="3:16" x14ac:dyDescent="0.3">
      <c r="C149" s="114"/>
      <c r="D149" s="258" t="s">
        <v>545</v>
      </c>
      <c r="E149" s="234" t="s">
        <v>0</v>
      </c>
      <c r="F149" s="235">
        <v>1</v>
      </c>
      <c r="G149" s="236">
        <v>2.35</v>
      </c>
      <c r="H149" s="236">
        <v>0.1</v>
      </c>
      <c r="I149" s="236">
        <f>0.2</f>
        <v>0.2</v>
      </c>
      <c r="J149" s="235">
        <v>1</v>
      </c>
      <c r="K149" s="249"/>
      <c r="L149" s="237">
        <f>((I149)+H149)*F149*G149*J149</f>
        <v>0.70500000000000018</v>
      </c>
      <c r="M149" s="111"/>
      <c r="N149" s="111"/>
      <c r="O149" s="111"/>
      <c r="P149" s="111"/>
    </row>
    <row r="150" spans="3:16" x14ac:dyDescent="0.3">
      <c r="C150" s="114"/>
      <c r="D150" s="258" t="s">
        <v>546</v>
      </c>
      <c r="E150" s="239" t="s">
        <v>0</v>
      </c>
      <c r="F150" s="235">
        <v>1</v>
      </c>
      <c r="G150" s="236">
        <v>2.35</v>
      </c>
      <c r="H150" s="236">
        <v>0.25</v>
      </c>
      <c r="I150" s="236">
        <v>0.4</v>
      </c>
      <c r="J150" s="235">
        <v>1</v>
      </c>
      <c r="K150" s="236"/>
      <c r="L150" s="237">
        <f t="shared" ref="L150:L153" si="18">((I150)+H150)*F150*G150*J150</f>
        <v>1.5275000000000001</v>
      </c>
      <c r="M150" s="111"/>
      <c r="N150" s="111"/>
      <c r="O150" s="111"/>
      <c r="P150" s="111"/>
    </row>
    <row r="151" spans="3:16" x14ac:dyDescent="0.3">
      <c r="C151" s="114"/>
      <c r="D151" s="258" t="s">
        <v>547</v>
      </c>
      <c r="E151" s="239" t="s">
        <v>0</v>
      </c>
      <c r="F151" s="235">
        <v>1</v>
      </c>
      <c r="G151" s="236">
        <v>1</v>
      </c>
      <c r="H151" s="236">
        <v>0.25</v>
      </c>
      <c r="I151" s="236">
        <v>0.4</v>
      </c>
      <c r="J151" s="235">
        <v>1</v>
      </c>
      <c r="K151" s="236"/>
      <c r="L151" s="237">
        <f t="shared" si="18"/>
        <v>0.65</v>
      </c>
      <c r="M151" s="111"/>
      <c r="N151" s="111"/>
      <c r="O151" s="111"/>
      <c r="P151" s="111"/>
    </row>
    <row r="152" spans="3:16" x14ac:dyDescent="0.3">
      <c r="C152" s="114"/>
      <c r="D152" s="258"/>
      <c r="E152" s="239" t="s">
        <v>0</v>
      </c>
      <c r="F152" s="235">
        <v>1</v>
      </c>
      <c r="G152" s="236">
        <v>1</v>
      </c>
      <c r="H152" s="236">
        <v>0.1</v>
      </c>
      <c r="I152" s="236">
        <v>0.4</v>
      </c>
      <c r="J152" s="235">
        <v>1</v>
      </c>
      <c r="K152" s="236"/>
      <c r="L152" s="237">
        <f t="shared" si="18"/>
        <v>0.5</v>
      </c>
      <c r="M152" s="111"/>
      <c r="N152" s="111"/>
      <c r="O152" s="111"/>
      <c r="P152" s="111"/>
    </row>
    <row r="153" spans="3:16" x14ac:dyDescent="0.3">
      <c r="C153" s="114"/>
      <c r="D153" s="266" t="s">
        <v>548</v>
      </c>
      <c r="E153" s="239" t="s">
        <v>0</v>
      </c>
      <c r="F153" s="235">
        <v>1</v>
      </c>
      <c r="G153" s="236">
        <v>0.6</v>
      </c>
      <c r="H153" s="236">
        <v>0.25</v>
      </c>
      <c r="I153" s="236">
        <v>0.4</v>
      </c>
      <c r="J153" s="235">
        <v>1</v>
      </c>
      <c r="K153" s="236"/>
      <c r="L153" s="237">
        <f t="shared" si="18"/>
        <v>0.39</v>
      </c>
      <c r="M153" s="111"/>
      <c r="N153" s="111"/>
      <c r="O153" s="111"/>
      <c r="P153" s="111"/>
    </row>
    <row r="154" spans="3:16" x14ac:dyDescent="0.3">
      <c r="C154" s="114"/>
      <c r="D154" s="258"/>
      <c r="E154" s="239"/>
      <c r="F154" s="235"/>
      <c r="G154" s="236">
        <v>2.85</v>
      </c>
      <c r="H154" s="236">
        <v>0.1</v>
      </c>
      <c r="I154" s="236">
        <v>0.4</v>
      </c>
      <c r="J154" s="235"/>
      <c r="K154" s="236"/>
      <c r="L154" s="237"/>
      <c r="M154" s="111"/>
      <c r="N154" s="111"/>
      <c r="O154" s="111"/>
      <c r="P154" s="111"/>
    </row>
    <row r="155" spans="3:16" x14ac:dyDescent="0.3">
      <c r="C155" s="114"/>
      <c r="D155" s="258" t="s">
        <v>549</v>
      </c>
      <c r="E155" s="239" t="s">
        <v>0</v>
      </c>
      <c r="F155" s="235">
        <v>1</v>
      </c>
      <c r="G155" s="236">
        <v>3.35</v>
      </c>
      <c r="H155" s="236">
        <v>0.35</v>
      </c>
      <c r="I155" s="236"/>
      <c r="J155" s="235">
        <v>1</v>
      </c>
      <c r="K155" s="236"/>
      <c r="L155" s="237">
        <f t="shared" ref="L155:L161" si="19">((I155)+H155)*F155*G155*J155</f>
        <v>1.1724999999999999</v>
      </c>
      <c r="M155" s="111"/>
      <c r="N155" s="111"/>
      <c r="O155" s="111"/>
      <c r="P155" s="111"/>
    </row>
    <row r="156" spans="3:16" x14ac:dyDescent="0.3">
      <c r="C156" s="114"/>
      <c r="D156" s="258" t="s">
        <v>550</v>
      </c>
      <c r="E156" s="239" t="s">
        <v>0</v>
      </c>
      <c r="F156" s="235">
        <v>1</v>
      </c>
      <c r="G156" s="236">
        <v>2.82</v>
      </c>
      <c r="H156" s="236"/>
      <c r="I156" s="236">
        <v>0.2</v>
      </c>
      <c r="J156" s="235">
        <v>1</v>
      </c>
      <c r="K156" s="236"/>
      <c r="L156" s="237">
        <f t="shared" si="19"/>
        <v>0.56399999999999995</v>
      </c>
      <c r="M156" s="111"/>
      <c r="N156" s="111"/>
      <c r="O156" s="111"/>
      <c r="P156" s="111"/>
    </row>
    <row r="157" spans="3:16" x14ac:dyDescent="0.3">
      <c r="C157" s="114"/>
      <c r="D157" s="258" t="s">
        <v>551</v>
      </c>
      <c r="E157" s="239" t="s">
        <v>0</v>
      </c>
      <c r="F157" s="235">
        <v>1</v>
      </c>
      <c r="G157" s="236">
        <v>1.9</v>
      </c>
      <c r="H157" s="236"/>
      <c r="I157" s="236">
        <v>0.2</v>
      </c>
      <c r="J157" s="235">
        <v>1</v>
      </c>
      <c r="K157" s="236"/>
      <c r="L157" s="237">
        <f t="shared" si="19"/>
        <v>0.38</v>
      </c>
      <c r="M157" s="111"/>
      <c r="N157" s="111"/>
      <c r="O157" s="111"/>
      <c r="P157" s="111"/>
    </row>
    <row r="158" spans="3:16" x14ac:dyDescent="0.3">
      <c r="C158" s="114"/>
      <c r="D158" s="258" t="s">
        <v>552</v>
      </c>
      <c r="E158" s="239" t="s">
        <v>0</v>
      </c>
      <c r="F158" s="235">
        <v>1</v>
      </c>
      <c r="G158" s="236">
        <v>2.95</v>
      </c>
      <c r="H158" s="236">
        <v>0.25</v>
      </c>
      <c r="I158" s="236"/>
      <c r="J158" s="235">
        <v>1</v>
      </c>
      <c r="K158" s="236"/>
      <c r="L158" s="237">
        <f t="shared" si="19"/>
        <v>0.73750000000000004</v>
      </c>
      <c r="M158" s="111"/>
      <c r="N158" s="111"/>
      <c r="O158" s="111"/>
      <c r="P158" s="111"/>
    </row>
    <row r="159" spans="3:16" x14ac:dyDescent="0.3">
      <c r="C159" s="114"/>
      <c r="D159" s="258" t="s">
        <v>553</v>
      </c>
      <c r="E159" s="239" t="s">
        <v>0</v>
      </c>
      <c r="F159" s="235">
        <v>1</v>
      </c>
      <c r="G159" s="236">
        <v>2.82</v>
      </c>
      <c r="H159" s="236"/>
      <c r="I159" s="236">
        <v>0.2</v>
      </c>
      <c r="J159" s="235">
        <v>1</v>
      </c>
      <c r="K159" s="236"/>
      <c r="L159" s="237">
        <f t="shared" si="19"/>
        <v>0.56399999999999995</v>
      </c>
      <c r="M159" s="111"/>
      <c r="N159" s="111"/>
      <c r="O159" s="111"/>
      <c r="P159" s="111"/>
    </row>
    <row r="160" spans="3:16" x14ac:dyDescent="0.3">
      <c r="C160" s="114"/>
      <c r="D160" s="258" t="s">
        <v>554</v>
      </c>
      <c r="E160" s="239" t="s">
        <v>0</v>
      </c>
      <c r="F160" s="235">
        <v>1</v>
      </c>
      <c r="G160" s="236">
        <v>1.9</v>
      </c>
      <c r="H160" s="236"/>
      <c r="I160" s="236">
        <v>0.2</v>
      </c>
      <c r="J160" s="235">
        <v>1</v>
      </c>
      <c r="K160" s="236"/>
      <c r="L160" s="237">
        <f t="shared" si="19"/>
        <v>0.38</v>
      </c>
      <c r="M160" s="111"/>
      <c r="N160" s="111"/>
      <c r="O160" s="111"/>
      <c r="P160" s="111"/>
    </row>
    <row r="161" spans="3:16" x14ac:dyDescent="0.3">
      <c r="C161" s="114"/>
      <c r="D161" s="258" t="s">
        <v>555</v>
      </c>
      <c r="E161" s="239" t="s">
        <v>0</v>
      </c>
      <c r="F161" s="235">
        <v>1</v>
      </c>
      <c r="G161" s="236">
        <v>2.95</v>
      </c>
      <c r="H161" s="236">
        <v>0.25</v>
      </c>
      <c r="I161" s="236"/>
      <c r="J161" s="235">
        <v>1</v>
      </c>
      <c r="K161" s="236"/>
      <c r="L161" s="237">
        <f t="shared" si="19"/>
        <v>0.73750000000000004</v>
      </c>
      <c r="M161" s="111"/>
      <c r="N161" s="111"/>
      <c r="O161" s="111"/>
      <c r="P161" s="111"/>
    </row>
    <row r="162" spans="3:16" x14ac:dyDescent="0.3">
      <c r="C162" s="106"/>
      <c r="D162" s="120" t="s">
        <v>106</v>
      </c>
      <c r="E162" s="144"/>
      <c r="F162" s="3"/>
      <c r="G162" s="122"/>
      <c r="H162" s="122"/>
      <c r="I162" s="122" t="s">
        <v>556</v>
      </c>
      <c r="J162" s="3"/>
      <c r="K162" s="122"/>
      <c r="L162" s="122"/>
      <c r="M162" s="113"/>
      <c r="N162" s="113"/>
      <c r="O162" s="113"/>
      <c r="P162" s="113"/>
    </row>
    <row r="163" spans="3:16" x14ac:dyDescent="0.3">
      <c r="C163" s="114"/>
      <c r="D163" s="258" t="s">
        <v>545</v>
      </c>
      <c r="E163" s="234" t="s">
        <v>0</v>
      </c>
      <c r="F163" s="235">
        <v>1</v>
      </c>
      <c r="G163" s="236">
        <v>2.35</v>
      </c>
      <c r="H163" s="236">
        <v>0.1</v>
      </c>
      <c r="I163" s="236">
        <f>0.2</f>
        <v>0.2</v>
      </c>
      <c r="J163" s="235">
        <v>1</v>
      </c>
      <c r="K163" s="249"/>
      <c r="L163" s="237">
        <f>((I163)+H163)*F163*G163*J163</f>
        <v>0.70500000000000018</v>
      </c>
      <c r="M163" s="111"/>
      <c r="N163" s="111"/>
      <c r="O163" s="111"/>
      <c r="P163" s="111"/>
    </row>
    <row r="164" spans="3:16" x14ac:dyDescent="0.3">
      <c r="C164" s="114"/>
      <c r="D164" s="258" t="s">
        <v>546</v>
      </c>
      <c r="E164" s="239" t="s">
        <v>0</v>
      </c>
      <c r="F164" s="235">
        <v>1</v>
      </c>
      <c r="G164" s="236">
        <v>2.35</v>
      </c>
      <c r="H164" s="236">
        <v>0.25</v>
      </c>
      <c r="I164" s="236">
        <v>0.4</v>
      </c>
      <c r="J164" s="235">
        <v>1</v>
      </c>
      <c r="K164" s="236"/>
      <c r="L164" s="237">
        <f t="shared" ref="L164:L167" si="20">((I164)+H164)*F164*G164*J164</f>
        <v>1.5275000000000001</v>
      </c>
      <c r="M164" s="111"/>
      <c r="N164" s="111"/>
      <c r="O164" s="111"/>
      <c r="P164" s="111"/>
    </row>
    <row r="165" spans="3:16" x14ac:dyDescent="0.3">
      <c r="C165" s="114"/>
      <c r="D165" s="258" t="s">
        <v>547</v>
      </c>
      <c r="E165" s="239" t="s">
        <v>0</v>
      </c>
      <c r="F165" s="235">
        <v>1</v>
      </c>
      <c r="G165" s="236">
        <v>1</v>
      </c>
      <c r="H165" s="236">
        <v>0.25</v>
      </c>
      <c r="I165" s="236">
        <v>0.4</v>
      </c>
      <c r="J165" s="235">
        <v>1</v>
      </c>
      <c r="K165" s="236"/>
      <c r="L165" s="237">
        <f t="shared" si="20"/>
        <v>0.65</v>
      </c>
      <c r="M165" s="111"/>
      <c r="N165" s="111"/>
      <c r="O165" s="111"/>
      <c r="P165" s="111"/>
    </row>
    <row r="166" spans="3:16" x14ac:dyDescent="0.3">
      <c r="C166" s="114"/>
      <c r="D166" s="258"/>
      <c r="E166" s="239" t="s">
        <v>0</v>
      </c>
      <c r="F166" s="235">
        <v>1</v>
      </c>
      <c r="G166" s="236">
        <v>1</v>
      </c>
      <c r="H166" s="236">
        <v>0.1</v>
      </c>
      <c r="I166" s="236">
        <v>0.4</v>
      </c>
      <c r="J166" s="235">
        <v>1</v>
      </c>
      <c r="K166" s="236"/>
      <c r="L166" s="237">
        <f t="shared" si="20"/>
        <v>0.5</v>
      </c>
      <c r="M166" s="111"/>
      <c r="N166" s="111"/>
      <c r="O166" s="111"/>
      <c r="P166" s="111"/>
    </row>
    <row r="167" spans="3:16" x14ac:dyDescent="0.3">
      <c r="C167" s="114"/>
      <c r="D167" s="266" t="s">
        <v>548</v>
      </c>
      <c r="E167" s="239" t="s">
        <v>0</v>
      </c>
      <c r="F167" s="235">
        <v>1</v>
      </c>
      <c r="G167" s="236">
        <v>0.6</v>
      </c>
      <c r="H167" s="236">
        <v>0.25</v>
      </c>
      <c r="I167" s="236">
        <v>0.4</v>
      </c>
      <c r="J167" s="235">
        <v>1</v>
      </c>
      <c r="K167" s="236"/>
      <c r="L167" s="237">
        <f t="shared" si="20"/>
        <v>0.39</v>
      </c>
      <c r="M167" s="111"/>
      <c r="N167" s="111"/>
      <c r="O167" s="111"/>
      <c r="P167" s="111"/>
    </row>
    <row r="168" spans="3:16" x14ac:dyDescent="0.3">
      <c r="C168" s="114"/>
      <c r="D168" s="258"/>
      <c r="E168" s="239"/>
      <c r="F168" s="235"/>
      <c r="G168" s="236">
        <v>2.85</v>
      </c>
      <c r="H168" s="236">
        <v>0.1</v>
      </c>
      <c r="I168" s="236">
        <v>0.4</v>
      </c>
      <c r="J168" s="235"/>
      <c r="K168" s="236"/>
      <c r="L168" s="237"/>
      <c r="M168" s="111"/>
      <c r="N168" s="111"/>
      <c r="O168" s="111"/>
      <c r="P168" s="111"/>
    </row>
    <row r="169" spans="3:16" x14ac:dyDescent="0.3">
      <c r="C169" s="114"/>
      <c r="D169" s="258" t="s">
        <v>549</v>
      </c>
      <c r="E169" s="239" t="s">
        <v>0</v>
      </c>
      <c r="F169" s="235">
        <v>1</v>
      </c>
      <c r="G169" s="236">
        <v>3.35</v>
      </c>
      <c r="H169" s="236">
        <v>0.35</v>
      </c>
      <c r="I169" s="236"/>
      <c r="J169" s="235">
        <v>1</v>
      </c>
      <c r="K169" s="236"/>
      <c r="L169" s="237">
        <f t="shared" ref="L169:L175" si="21">((I169)+H169)*F169*G169*J169</f>
        <v>1.1724999999999999</v>
      </c>
      <c r="M169" s="111"/>
      <c r="N169" s="111"/>
      <c r="O169" s="111"/>
      <c r="P169" s="111"/>
    </row>
    <row r="170" spans="3:16" x14ac:dyDescent="0.3">
      <c r="C170" s="114"/>
      <c r="D170" s="258" t="s">
        <v>550</v>
      </c>
      <c r="E170" s="239" t="s">
        <v>0</v>
      </c>
      <c r="F170" s="235">
        <v>1</v>
      </c>
      <c r="G170" s="236">
        <v>2.82</v>
      </c>
      <c r="H170" s="236"/>
      <c r="I170" s="236">
        <v>0.2</v>
      </c>
      <c r="J170" s="235">
        <v>1</v>
      </c>
      <c r="K170" s="236"/>
      <c r="L170" s="237">
        <f t="shared" si="21"/>
        <v>0.56399999999999995</v>
      </c>
      <c r="M170" s="111"/>
      <c r="N170" s="111"/>
      <c r="O170" s="111"/>
      <c r="P170" s="111"/>
    </row>
    <row r="171" spans="3:16" x14ac:dyDescent="0.3">
      <c r="C171" s="114"/>
      <c r="D171" s="258" t="s">
        <v>551</v>
      </c>
      <c r="E171" s="239" t="s">
        <v>0</v>
      </c>
      <c r="F171" s="235">
        <v>1</v>
      </c>
      <c r="G171" s="236">
        <v>1.9</v>
      </c>
      <c r="H171" s="236"/>
      <c r="I171" s="236">
        <v>0.2</v>
      </c>
      <c r="J171" s="235">
        <v>1</v>
      </c>
      <c r="K171" s="236"/>
      <c r="L171" s="237">
        <f t="shared" si="21"/>
        <v>0.38</v>
      </c>
      <c r="M171" s="111"/>
      <c r="N171" s="111"/>
      <c r="O171" s="111"/>
      <c r="P171" s="111"/>
    </row>
    <row r="172" spans="3:16" x14ac:dyDescent="0.3">
      <c r="C172" s="114"/>
      <c r="D172" s="258" t="s">
        <v>552</v>
      </c>
      <c r="E172" s="239" t="s">
        <v>0</v>
      </c>
      <c r="F172" s="235">
        <v>1</v>
      </c>
      <c r="G172" s="236">
        <v>2.95</v>
      </c>
      <c r="H172" s="236">
        <v>0.25</v>
      </c>
      <c r="I172" s="236"/>
      <c r="J172" s="235">
        <v>1</v>
      </c>
      <c r="K172" s="236"/>
      <c r="L172" s="237">
        <f t="shared" si="21"/>
        <v>0.73750000000000004</v>
      </c>
      <c r="M172" s="111"/>
      <c r="N172" s="111"/>
      <c r="O172" s="111"/>
      <c r="P172" s="111"/>
    </row>
    <row r="173" spans="3:16" x14ac:dyDescent="0.3">
      <c r="C173" s="114"/>
      <c r="D173" s="258" t="s">
        <v>553</v>
      </c>
      <c r="E173" s="239" t="s">
        <v>0</v>
      </c>
      <c r="F173" s="235">
        <v>1</v>
      </c>
      <c r="G173" s="236">
        <v>2.82</v>
      </c>
      <c r="H173" s="236"/>
      <c r="I173" s="236">
        <v>0.2</v>
      </c>
      <c r="J173" s="235">
        <v>1</v>
      </c>
      <c r="K173" s="236"/>
      <c r="L173" s="237">
        <f t="shared" si="21"/>
        <v>0.56399999999999995</v>
      </c>
      <c r="M173" s="111"/>
      <c r="N173" s="111"/>
      <c r="O173" s="111"/>
      <c r="P173" s="111"/>
    </row>
    <row r="174" spans="3:16" x14ac:dyDescent="0.3">
      <c r="C174" s="114"/>
      <c r="D174" s="258" t="s">
        <v>554</v>
      </c>
      <c r="E174" s="239" t="s">
        <v>0</v>
      </c>
      <c r="F174" s="235">
        <v>1</v>
      </c>
      <c r="G174" s="236">
        <v>1.9</v>
      </c>
      <c r="H174" s="236"/>
      <c r="I174" s="236">
        <v>0.2</v>
      </c>
      <c r="J174" s="235">
        <v>1</v>
      </c>
      <c r="K174" s="236"/>
      <c r="L174" s="237">
        <f t="shared" si="21"/>
        <v>0.38</v>
      </c>
      <c r="M174" s="111"/>
      <c r="N174" s="111"/>
      <c r="O174" s="111"/>
      <c r="P174" s="111"/>
    </row>
    <row r="175" spans="3:16" x14ac:dyDescent="0.3">
      <c r="C175" s="114"/>
      <c r="D175" s="258" t="s">
        <v>555</v>
      </c>
      <c r="E175" s="239" t="s">
        <v>0</v>
      </c>
      <c r="F175" s="235">
        <v>1</v>
      </c>
      <c r="G175" s="236">
        <v>2.95</v>
      </c>
      <c r="H175" s="236">
        <v>0.25</v>
      </c>
      <c r="I175" s="236"/>
      <c r="J175" s="235">
        <v>1</v>
      </c>
      <c r="K175" s="236"/>
      <c r="L175" s="237">
        <f t="shared" si="21"/>
        <v>0.73750000000000004</v>
      </c>
      <c r="M175" s="111"/>
      <c r="N175" s="111"/>
      <c r="O175" s="111"/>
      <c r="P175" s="111"/>
    </row>
    <row r="176" spans="3:16" x14ac:dyDescent="0.3">
      <c r="C176" s="106"/>
      <c r="D176" s="120" t="s">
        <v>51</v>
      </c>
      <c r="E176" s="144"/>
      <c r="F176" s="3"/>
      <c r="G176" s="122"/>
      <c r="H176" s="122"/>
      <c r="I176" s="122" t="s">
        <v>556</v>
      </c>
      <c r="J176" s="3"/>
      <c r="K176" s="122"/>
      <c r="L176" s="122"/>
      <c r="M176" s="113"/>
      <c r="N176" s="113"/>
      <c r="O176" s="113"/>
      <c r="P176" s="113"/>
    </row>
    <row r="177" spans="3:16" x14ac:dyDescent="0.3">
      <c r="C177" s="114"/>
      <c r="D177" s="258" t="s">
        <v>545</v>
      </c>
      <c r="E177" s="234" t="s">
        <v>0</v>
      </c>
      <c r="F177" s="235">
        <v>1</v>
      </c>
      <c r="G177" s="236">
        <v>2.35</v>
      </c>
      <c r="H177" s="236">
        <v>0.1</v>
      </c>
      <c r="I177" s="236">
        <f>0.2</f>
        <v>0.2</v>
      </c>
      <c r="J177" s="235">
        <v>1</v>
      </c>
      <c r="K177" s="249"/>
      <c r="L177" s="237">
        <f>((I177)+H177)*F177*G177*J177</f>
        <v>0.70500000000000018</v>
      </c>
      <c r="M177" s="111"/>
      <c r="N177" s="111"/>
      <c r="O177" s="111"/>
      <c r="P177" s="111"/>
    </row>
    <row r="178" spans="3:16" x14ac:dyDescent="0.3">
      <c r="C178" s="114"/>
      <c r="D178" s="258" t="s">
        <v>546</v>
      </c>
      <c r="E178" s="239" t="s">
        <v>0</v>
      </c>
      <c r="F178" s="235">
        <v>1</v>
      </c>
      <c r="G178" s="236">
        <v>2.35</v>
      </c>
      <c r="H178" s="236">
        <v>0.25</v>
      </c>
      <c r="I178" s="236">
        <v>0.4</v>
      </c>
      <c r="J178" s="235">
        <v>1</v>
      </c>
      <c r="K178" s="236"/>
      <c r="L178" s="237">
        <f t="shared" ref="L178:L181" si="22">((I178)+H178)*F178*G178*J178</f>
        <v>1.5275000000000001</v>
      </c>
      <c r="M178" s="111"/>
      <c r="N178" s="111"/>
      <c r="O178" s="111"/>
      <c r="P178" s="111"/>
    </row>
    <row r="179" spans="3:16" x14ac:dyDescent="0.3">
      <c r="C179" s="114"/>
      <c r="D179" s="258" t="s">
        <v>547</v>
      </c>
      <c r="E179" s="239" t="s">
        <v>0</v>
      </c>
      <c r="F179" s="235">
        <v>1</v>
      </c>
      <c r="G179" s="236">
        <v>1</v>
      </c>
      <c r="H179" s="236">
        <v>0.25</v>
      </c>
      <c r="I179" s="236">
        <v>0.4</v>
      </c>
      <c r="J179" s="235">
        <v>1</v>
      </c>
      <c r="K179" s="236"/>
      <c r="L179" s="237">
        <f t="shared" si="22"/>
        <v>0.65</v>
      </c>
      <c r="M179" s="111"/>
      <c r="N179" s="111"/>
      <c r="O179" s="111"/>
      <c r="P179" s="111"/>
    </row>
    <row r="180" spans="3:16" x14ac:dyDescent="0.3">
      <c r="C180" s="114"/>
      <c r="D180" s="258"/>
      <c r="E180" s="239" t="s">
        <v>0</v>
      </c>
      <c r="F180" s="235">
        <v>1</v>
      </c>
      <c r="G180" s="236">
        <v>1</v>
      </c>
      <c r="H180" s="236">
        <v>0.1</v>
      </c>
      <c r="I180" s="236">
        <v>0.4</v>
      </c>
      <c r="J180" s="235">
        <v>1</v>
      </c>
      <c r="K180" s="236"/>
      <c r="L180" s="237">
        <f t="shared" si="22"/>
        <v>0.5</v>
      </c>
      <c r="M180" s="111"/>
      <c r="N180" s="111"/>
      <c r="O180" s="111"/>
      <c r="P180" s="111"/>
    </row>
    <row r="181" spans="3:16" x14ac:dyDescent="0.3">
      <c r="C181" s="114"/>
      <c r="D181" s="266" t="s">
        <v>548</v>
      </c>
      <c r="E181" s="239" t="s">
        <v>0</v>
      </c>
      <c r="F181" s="235">
        <v>1</v>
      </c>
      <c r="G181" s="236">
        <v>0.6</v>
      </c>
      <c r="H181" s="236">
        <v>0.25</v>
      </c>
      <c r="I181" s="236">
        <v>0.4</v>
      </c>
      <c r="J181" s="235">
        <v>1</v>
      </c>
      <c r="K181" s="236"/>
      <c r="L181" s="237">
        <f t="shared" si="22"/>
        <v>0.39</v>
      </c>
      <c r="M181" s="111"/>
      <c r="N181" s="111"/>
      <c r="O181" s="111"/>
      <c r="P181" s="111"/>
    </row>
    <row r="182" spans="3:16" x14ac:dyDescent="0.3">
      <c r="C182" s="114"/>
      <c r="D182" s="258"/>
      <c r="E182" s="239"/>
      <c r="F182" s="235"/>
      <c r="G182" s="236">
        <v>3.85</v>
      </c>
      <c r="H182" s="236">
        <v>0.1</v>
      </c>
      <c r="I182" s="236">
        <v>0.4</v>
      </c>
      <c r="J182" s="235"/>
      <c r="K182" s="236"/>
      <c r="L182" s="237"/>
      <c r="M182" s="111"/>
      <c r="N182" s="111"/>
      <c r="O182" s="111"/>
      <c r="P182" s="111"/>
    </row>
    <row r="183" spans="3:16" x14ac:dyDescent="0.3">
      <c r="C183" s="114"/>
      <c r="D183" s="266" t="s">
        <v>853</v>
      </c>
      <c r="E183" s="239" t="s">
        <v>0</v>
      </c>
      <c r="F183" s="235">
        <v>1</v>
      </c>
      <c r="G183" s="236">
        <v>0.6</v>
      </c>
      <c r="H183" s="236">
        <v>0.25</v>
      </c>
      <c r="I183" s="236">
        <v>0.4</v>
      </c>
      <c r="J183" s="235">
        <v>1</v>
      </c>
      <c r="K183" s="236"/>
      <c r="L183" s="237">
        <f t="shared" ref="L183:L190" si="23">((I183)+H183)*F183*G183*J183</f>
        <v>0.39</v>
      </c>
      <c r="M183" s="111"/>
      <c r="N183" s="111"/>
      <c r="O183" s="111"/>
      <c r="P183" s="111"/>
    </row>
    <row r="184" spans="3:16" x14ac:dyDescent="0.3">
      <c r="C184" s="114"/>
      <c r="D184" s="258" t="s">
        <v>549</v>
      </c>
      <c r="E184" s="239" t="s">
        <v>0</v>
      </c>
      <c r="F184" s="235">
        <v>1</v>
      </c>
      <c r="G184" s="236">
        <v>3.35</v>
      </c>
      <c r="H184" s="236">
        <v>0.35</v>
      </c>
      <c r="I184" s="236">
        <v>0.3</v>
      </c>
      <c r="J184" s="235">
        <v>1</v>
      </c>
      <c r="K184" s="236"/>
      <c r="L184" s="237">
        <f t="shared" si="23"/>
        <v>2.1774999999999998</v>
      </c>
      <c r="M184" s="111"/>
      <c r="N184" s="111"/>
      <c r="O184" s="111"/>
      <c r="P184" s="111"/>
    </row>
    <row r="185" spans="3:16" x14ac:dyDescent="0.3">
      <c r="C185" s="114"/>
      <c r="D185" s="258" t="s">
        <v>550</v>
      </c>
      <c r="E185" s="239" t="s">
        <v>0</v>
      </c>
      <c r="F185" s="235">
        <v>1</v>
      </c>
      <c r="G185" s="236">
        <v>2.82</v>
      </c>
      <c r="H185" s="236"/>
      <c r="I185" s="236">
        <v>0.2</v>
      </c>
      <c r="J185" s="235">
        <v>1</v>
      </c>
      <c r="K185" s="236"/>
      <c r="L185" s="237">
        <f t="shared" si="23"/>
        <v>0.56399999999999995</v>
      </c>
      <c r="M185" s="111"/>
      <c r="N185" s="111"/>
      <c r="O185" s="111"/>
      <c r="P185" s="111"/>
    </row>
    <row r="186" spans="3:16" x14ac:dyDescent="0.3">
      <c r="C186" s="114"/>
      <c r="D186" s="258" t="s">
        <v>551</v>
      </c>
      <c r="E186" s="239" t="s">
        <v>0</v>
      </c>
      <c r="F186" s="235">
        <v>1</v>
      </c>
      <c r="G186" s="236">
        <v>1.9</v>
      </c>
      <c r="H186" s="236"/>
      <c r="I186" s="236">
        <v>0.2</v>
      </c>
      <c r="J186" s="235">
        <v>1</v>
      </c>
      <c r="K186" s="236"/>
      <c r="L186" s="237">
        <f t="shared" si="23"/>
        <v>0.38</v>
      </c>
      <c r="M186" s="111"/>
      <c r="N186" s="111"/>
      <c r="O186" s="111"/>
      <c r="P186" s="111"/>
    </row>
    <row r="187" spans="3:16" x14ac:dyDescent="0.3">
      <c r="C187" s="114"/>
      <c r="D187" s="258" t="s">
        <v>552</v>
      </c>
      <c r="E187" s="239" t="s">
        <v>0</v>
      </c>
      <c r="F187" s="235">
        <v>1</v>
      </c>
      <c r="G187" s="236">
        <v>2.95</v>
      </c>
      <c r="H187" s="236">
        <v>0.25</v>
      </c>
      <c r="I187" s="236">
        <v>0.3</v>
      </c>
      <c r="J187" s="235">
        <v>1</v>
      </c>
      <c r="K187" s="236"/>
      <c r="L187" s="237">
        <f t="shared" si="23"/>
        <v>1.6225000000000003</v>
      </c>
      <c r="M187" s="111"/>
      <c r="N187" s="111"/>
      <c r="O187" s="111"/>
      <c r="P187" s="111"/>
    </row>
    <row r="188" spans="3:16" x14ac:dyDescent="0.3">
      <c r="C188" s="114"/>
      <c r="D188" s="258" t="s">
        <v>553</v>
      </c>
      <c r="E188" s="239" t="s">
        <v>0</v>
      </c>
      <c r="F188" s="235">
        <v>1</v>
      </c>
      <c r="G188" s="236">
        <v>2.82</v>
      </c>
      <c r="H188" s="236"/>
      <c r="I188" s="236">
        <v>0.2</v>
      </c>
      <c r="J188" s="235">
        <v>1</v>
      </c>
      <c r="K188" s="236"/>
      <c r="L188" s="237">
        <f t="shared" si="23"/>
        <v>0.56399999999999995</v>
      </c>
      <c r="M188" s="111"/>
      <c r="N188" s="111"/>
      <c r="O188" s="111"/>
      <c r="P188" s="111"/>
    </row>
    <row r="189" spans="3:16" x14ac:dyDescent="0.3">
      <c r="C189" s="114"/>
      <c r="D189" s="258" t="s">
        <v>554</v>
      </c>
      <c r="E189" s="239" t="s">
        <v>0</v>
      </c>
      <c r="F189" s="235">
        <v>1</v>
      </c>
      <c r="G189" s="236">
        <v>1.9</v>
      </c>
      <c r="H189" s="236"/>
      <c r="I189" s="236">
        <v>0.2</v>
      </c>
      <c r="J189" s="235">
        <v>1</v>
      </c>
      <c r="K189" s="236"/>
      <c r="L189" s="237">
        <f t="shared" si="23"/>
        <v>0.38</v>
      </c>
      <c r="M189" s="111"/>
      <c r="N189" s="111"/>
      <c r="O189" s="111"/>
      <c r="P189" s="111"/>
    </row>
    <row r="190" spans="3:16" x14ac:dyDescent="0.3">
      <c r="C190" s="114"/>
      <c r="D190" s="258" t="s">
        <v>555</v>
      </c>
      <c r="E190" s="239" t="s">
        <v>0</v>
      </c>
      <c r="F190" s="235">
        <v>1</v>
      </c>
      <c r="G190" s="236">
        <v>2.95</v>
      </c>
      <c r="H190" s="236">
        <v>0.25</v>
      </c>
      <c r="I190" s="236"/>
      <c r="J190" s="235">
        <v>1</v>
      </c>
      <c r="K190" s="236"/>
      <c r="L190" s="237">
        <f t="shared" si="23"/>
        <v>0.73750000000000004</v>
      </c>
      <c r="M190" s="111"/>
      <c r="N190" s="111"/>
      <c r="O190" s="111"/>
      <c r="P190" s="111"/>
    </row>
    <row r="191" spans="3:16" ht="14.4" x14ac:dyDescent="0.3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3:16" x14ac:dyDescent="0.3">
      <c r="C192" s="99" t="s">
        <v>1184</v>
      </c>
      <c r="D192" s="100" t="s">
        <v>420</v>
      </c>
      <c r="E192" s="132" t="s">
        <v>0</v>
      </c>
      <c r="F192" s="1"/>
      <c r="G192" s="2"/>
      <c r="H192" s="2"/>
      <c r="I192" s="2"/>
      <c r="J192" s="3"/>
      <c r="K192" s="122"/>
      <c r="L192" s="122"/>
      <c r="M192" s="103"/>
      <c r="N192" s="103"/>
      <c r="O192" s="103"/>
      <c r="P192" s="103">
        <f>SUM(L192:L217)</f>
        <v>12.479999999999999</v>
      </c>
    </row>
    <row r="193" spans="3:16" x14ac:dyDescent="0.3">
      <c r="C193" s="106"/>
      <c r="D193" s="267" t="s">
        <v>127</v>
      </c>
      <c r="E193" s="262"/>
      <c r="F193" s="229"/>
      <c r="G193" s="230"/>
      <c r="H193" s="230"/>
      <c r="I193" s="230"/>
      <c r="J193" s="229"/>
      <c r="K193" s="230"/>
      <c r="L193" s="230"/>
      <c r="M193" s="113"/>
      <c r="N193" s="113"/>
      <c r="O193" s="113"/>
      <c r="P193" s="113"/>
    </row>
    <row r="194" spans="3:16" x14ac:dyDescent="0.3">
      <c r="C194" s="118"/>
      <c r="D194" s="259" t="s">
        <v>266</v>
      </c>
      <c r="E194" s="260"/>
      <c r="F194" s="255"/>
      <c r="G194" s="256"/>
      <c r="H194" s="256"/>
      <c r="I194" s="256"/>
      <c r="J194" s="229"/>
      <c r="K194" s="230"/>
      <c r="L194" s="230"/>
      <c r="M194" s="113"/>
      <c r="N194" s="113"/>
      <c r="O194" s="113"/>
      <c r="P194" s="113"/>
    </row>
    <row r="195" spans="3:16" x14ac:dyDescent="0.3">
      <c r="C195" s="114"/>
      <c r="D195" s="258" t="s">
        <v>140</v>
      </c>
      <c r="E195" s="239" t="s">
        <v>0</v>
      </c>
      <c r="F195" s="235">
        <v>1</v>
      </c>
      <c r="G195" s="236">
        <v>0.15</v>
      </c>
      <c r="H195" s="236">
        <v>2.35</v>
      </c>
      <c r="I195" s="236">
        <v>0.75</v>
      </c>
      <c r="J195" s="235">
        <v>1</v>
      </c>
      <c r="K195" s="236"/>
      <c r="L195" s="237">
        <f t="shared" ref="L195" si="24">((H195+I195)*2)*F195*G195*J195</f>
        <v>0.92999999999999994</v>
      </c>
      <c r="M195" s="111"/>
      <c r="N195" s="111"/>
      <c r="O195" s="111"/>
      <c r="P195" s="111"/>
    </row>
    <row r="196" spans="3:16" x14ac:dyDescent="0.3">
      <c r="C196" s="118"/>
      <c r="D196" s="259" t="s">
        <v>129</v>
      </c>
      <c r="E196" s="260"/>
      <c r="F196" s="255"/>
      <c r="G196" s="256"/>
      <c r="H196" s="256"/>
      <c r="I196" s="256"/>
      <c r="J196" s="229"/>
      <c r="K196" s="230"/>
      <c r="L196" s="230"/>
      <c r="M196" s="113"/>
      <c r="N196" s="113"/>
      <c r="O196" s="113"/>
      <c r="P196" s="113"/>
    </row>
    <row r="197" spans="3:16" x14ac:dyDescent="0.3">
      <c r="C197" s="114"/>
      <c r="D197" s="258" t="s">
        <v>130</v>
      </c>
      <c r="E197" s="239" t="s">
        <v>0</v>
      </c>
      <c r="F197" s="235">
        <v>1</v>
      </c>
      <c r="G197" s="236">
        <v>0.15</v>
      </c>
      <c r="H197" s="236">
        <v>1</v>
      </c>
      <c r="I197" s="236">
        <v>2.85</v>
      </c>
      <c r="J197" s="235">
        <v>1</v>
      </c>
      <c r="K197" s="236"/>
      <c r="L197" s="237">
        <f t="shared" ref="L197:L198" si="25">((H197+I197)*2)*F197*G197*J197</f>
        <v>1.155</v>
      </c>
      <c r="M197" s="111"/>
      <c r="N197" s="111"/>
      <c r="O197" s="111"/>
      <c r="P197" s="111"/>
    </row>
    <row r="198" spans="3:16" x14ac:dyDescent="0.3">
      <c r="C198" s="114"/>
      <c r="D198" s="258" t="s">
        <v>557</v>
      </c>
      <c r="E198" s="239" t="s">
        <v>0</v>
      </c>
      <c r="F198" s="235">
        <v>1</v>
      </c>
      <c r="G198" s="236">
        <v>0.15</v>
      </c>
      <c r="H198" s="236">
        <v>0.6</v>
      </c>
      <c r="I198" s="236">
        <v>2.85</v>
      </c>
      <c r="J198" s="235">
        <v>1</v>
      </c>
      <c r="K198" s="236"/>
      <c r="L198" s="237">
        <f t="shared" si="25"/>
        <v>1.0349999999999999</v>
      </c>
      <c r="M198" s="111"/>
      <c r="N198" s="111"/>
      <c r="O198" s="111"/>
      <c r="P198" s="111"/>
    </row>
    <row r="199" spans="3:16" x14ac:dyDescent="0.3">
      <c r="C199" s="106"/>
      <c r="D199" s="267" t="s">
        <v>68</v>
      </c>
      <c r="E199" s="262"/>
      <c r="F199" s="229"/>
      <c r="G199" s="230"/>
      <c r="H199" s="230"/>
      <c r="I199" s="230"/>
      <c r="J199" s="229"/>
      <c r="K199" s="230"/>
      <c r="L199" s="230"/>
      <c r="M199" s="113"/>
      <c r="N199" s="113"/>
      <c r="O199" s="113"/>
      <c r="P199" s="113"/>
    </row>
    <row r="200" spans="3:16" x14ac:dyDescent="0.3">
      <c r="C200" s="118"/>
      <c r="D200" s="259" t="s">
        <v>266</v>
      </c>
      <c r="E200" s="260"/>
      <c r="F200" s="255"/>
      <c r="G200" s="256"/>
      <c r="H200" s="256"/>
      <c r="I200" s="256"/>
      <c r="J200" s="229"/>
      <c r="K200" s="230"/>
      <c r="L200" s="230"/>
      <c r="M200" s="113"/>
      <c r="N200" s="113"/>
      <c r="O200" s="113"/>
      <c r="P200" s="113"/>
    </row>
    <row r="201" spans="3:16" x14ac:dyDescent="0.3">
      <c r="C201" s="114"/>
      <c r="D201" s="258" t="s">
        <v>140</v>
      </c>
      <c r="E201" s="239" t="s">
        <v>0</v>
      </c>
      <c r="F201" s="235">
        <v>1</v>
      </c>
      <c r="G201" s="236">
        <v>0.15</v>
      </c>
      <c r="H201" s="236">
        <v>2.35</v>
      </c>
      <c r="I201" s="236">
        <v>0.75</v>
      </c>
      <c r="J201" s="235">
        <v>1</v>
      </c>
      <c r="K201" s="236"/>
      <c r="L201" s="237">
        <f t="shared" ref="L201" si="26">((H201+I201)*2)*F201*G201*J201</f>
        <v>0.92999999999999994</v>
      </c>
      <c r="M201" s="111"/>
      <c r="N201" s="111"/>
      <c r="O201" s="111"/>
      <c r="P201" s="111"/>
    </row>
    <row r="202" spans="3:16" x14ac:dyDescent="0.3">
      <c r="C202" s="118"/>
      <c r="D202" s="259" t="s">
        <v>129</v>
      </c>
      <c r="E202" s="260"/>
      <c r="F202" s="255"/>
      <c r="G202" s="256"/>
      <c r="H202" s="256"/>
      <c r="I202" s="256"/>
      <c r="J202" s="229"/>
      <c r="K202" s="230"/>
      <c r="L202" s="230"/>
      <c r="M202" s="113"/>
      <c r="N202" s="113"/>
      <c r="O202" s="113"/>
      <c r="P202" s="113"/>
    </row>
    <row r="203" spans="3:16" x14ac:dyDescent="0.3">
      <c r="C203" s="114"/>
      <c r="D203" s="258" t="s">
        <v>130</v>
      </c>
      <c r="E203" s="239" t="s">
        <v>0</v>
      </c>
      <c r="F203" s="235">
        <v>1</v>
      </c>
      <c r="G203" s="236">
        <v>0.15</v>
      </c>
      <c r="H203" s="236">
        <v>1</v>
      </c>
      <c r="I203" s="236">
        <v>2.85</v>
      </c>
      <c r="J203" s="235">
        <v>1</v>
      </c>
      <c r="K203" s="236"/>
      <c r="L203" s="237">
        <f t="shared" ref="L203:L204" si="27">((H203+I203)*2)*F203*G203*J203</f>
        <v>1.155</v>
      </c>
      <c r="M203" s="111"/>
      <c r="N203" s="111"/>
      <c r="O203" s="111"/>
      <c r="P203" s="111"/>
    </row>
    <row r="204" spans="3:16" x14ac:dyDescent="0.3">
      <c r="C204" s="114"/>
      <c r="D204" s="258" t="s">
        <v>557</v>
      </c>
      <c r="E204" s="239" t="s">
        <v>0</v>
      </c>
      <c r="F204" s="235">
        <v>1</v>
      </c>
      <c r="G204" s="236">
        <v>0.15</v>
      </c>
      <c r="H204" s="236">
        <v>0.6</v>
      </c>
      <c r="I204" s="236">
        <v>2.85</v>
      </c>
      <c r="J204" s="235">
        <v>1</v>
      </c>
      <c r="K204" s="236"/>
      <c r="L204" s="237">
        <f t="shared" si="27"/>
        <v>1.0349999999999999</v>
      </c>
      <c r="M204" s="111"/>
      <c r="N204" s="111"/>
      <c r="O204" s="111"/>
      <c r="P204" s="111"/>
    </row>
    <row r="205" spans="3:16" x14ac:dyDescent="0.3">
      <c r="C205" s="106"/>
      <c r="D205" s="267" t="s">
        <v>106</v>
      </c>
      <c r="E205" s="262"/>
      <c r="F205" s="229"/>
      <c r="G205" s="230"/>
      <c r="H205" s="230"/>
      <c r="I205" s="230"/>
      <c r="J205" s="229"/>
      <c r="K205" s="230"/>
      <c r="L205" s="230"/>
      <c r="M205" s="113"/>
      <c r="N205" s="113"/>
      <c r="O205" s="113"/>
      <c r="P205" s="113"/>
    </row>
    <row r="206" spans="3:16" x14ac:dyDescent="0.3">
      <c r="C206" s="118"/>
      <c r="D206" s="259" t="s">
        <v>266</v>
      </c>
      <c r="E206" s="260"/>
      <c r="F206" s="255"/>
      <c r="G206" s="256"/>
      <c r="H206" s="256"/>
      <c r="I206" s="256"/>
      <c r="J206" s="229"/>
      <c r="K206" s="230"/>
      <c r="L206" s="230"/>
      <c r="M206" s="113"/>
      <c r="N206" s="113"/>
      <c r="O206" s="113"/>
      <c r="P206" s="113"/>
    </row>
    <row r="207" spans="3:16" x14ac:dyDescent="0.3">
      <c r="C207" s="114"/>
      <c r="D207" s="258" t="s">
        <v>140</v>
      </c>
      <c r="E207" s="239" t="s">
        <v>0</v>
      </c>
      <c r="F207" s="235">
        <v>1</v>
      </c>
      <c r="G207" s="236">
        <v>0.15</v>
      </c>
      <c r="H207" s="236">
        <v>2.35</v>
      </c>
      <c r="I207" s="236">
        <v>0.75</v>
      </c>
      <c r="J207" s="235">
        <v>1</v>
      </c>
      <c r="K207" s="236"/>
      <c r="L207" s="237">
        <f t="shared" ref="L207" si="28">((H207+I207)*2)*F207*G207*J207</f>
        <v>0.92999999999999994</v>
      </c>
      <c r="M207" s="111"/>
      <c r="N207" s="111"/>
      <c r="O207" s="111"/>
      <c r="P207" s="111"/>
    </row>
    <row r="208" spans="3:16" x14ac:dyDescent="0.3">
      <c r="C208" s="118"/>
      <c r="D208" s="259" t="s">
        <v>129</v>
      </c>
      <c r="E208" s="260"/>
      <c r="F208" s="255"/>
      <c r="G208" s="256"/>
      <c r="H208" s="256"/>
      <c r="I208" s="256"/>
      <c r="J208" s="229"/>
      <c r="K208" s="230"/>
      <c r="L208" s="230"/>
      <c r="M208" s="113"/>
      <c r="N208" s="113"/>
      <c r="O208" s="113"/>
      <c r="P208" s="113"/>
    </row>
    <row r="209" spans="3:16" x14ac:dyDescent="0.3">
      <c r="C209" s="114"/>
      <c r="D209" s="258" t="s">
        <v>130</v>
      </c>
      <c r="E209" s="239" t="s">
        <v>0</v>
      </c>
      <c r="F209" s="235">
        <v>1</v>
      </c>
      <c r="G209" s="236">
        <v>0.15</v>
      </c>
      <c r="H209" s="236">
        <v>1</v>
      </c>
      <c r="I209" s="236">
        <v>2.85</v>
      </c>
      <c r="J209" s="235">
        <v>1</v>
      </c>
      <c r="K209" s="236"/>
      <c r="L209" s="237">
        <f t="shared" ref="L209:L210" si="29">((H209+I209)*2)*F209*G209*J209</f>
        <v>1.155</v>
      </c>
      <c r="M209" s="111"/>
      <c r="N209" s="111"/>
      <c r="O209" s="111"/>
      <c r="P209" s="111"/>
    </row>
    <row r="210" spans="3:16" x14ac:dyDescent="0.3">
      <c r="C210" s="114"/>
      <c r="D210" s="258" t="s">
        <v>557</v>
      </c>
      <c r="E210" s="239" t="s">
        <v>0</v>
      </c>
      <c r="F210" s="235">
        <v>1</v>
      </c>
      <c r="G210" s="236">
        <v>0.15</v>
      </c>
      <c r="H210" s="236">
        <v>0.6</v>
      </c>
      <c r="I210" s="236">
        <v>2.85</v>
      </c>
      <c r="J210" s="235">
        <v>1</v>
      </c>
      <c r="K210" s="236"/>
      <c r="L210" s="237">
        <f t="shared" si="29"/>
        <v>1.0349999999999999</v>
      </c>
      <c r="M210" s="111"/>
      <c r="N210" s="111"/>
      <c r="O210" s="111"/>
      <c r="P210" s="111"/>
    </row>
    <row r="211" spans="3:16" x14ac:dyDescent="0.3">
      <c r="C211" s="106"/>
      <c r="D211" s="267" t="s">
        <v>51</v>
      </c>
      <c r="E211" s="262"/>
      <c r="F211" s="229"/>
      <c r="G211" s="230"/>
      <c r="H211" s="230"/>
      <c r="I211" s="230"/>
      <c r="J211" s="229"/>
      <c r="K211" s="230"/>
      <c r="L211" s="230"/>
      <c r="M211" s="113"/>
      <c r="N211" s="113"/>
      <c r="O211" s="113"/>
      <c r="P211" s="113"/>
    </row>
    <row r="212" spans="3:16" x14ac:dyDescent="0.3">
      <c r="C212" s="118"/>
      <c r="D212" s="259" t="s">
        <v>266</v>
      </c>
      <c r="E212" s="260"/>
      <c r="F212" s="255"/>
      <c r="G212" s="256"/>
      <c r="H212" s="256"/>
      <c r="I212" s="256"/>
      <c r="J212" s="229"/>
      <c r="K212" s="230"/>
      <c r="L212" s="230"/>
      <c r="M212" s="113"/>
      <c r="N212" s="113"/>
      <c r="O212" s="113"/>
      <c r="P212" s="113"/>
    </row>
    <row r="213" spans="3:16" x14ac:dyDescent="0.3">
      <c r="C213" s="114"/>
      <c r="D213" s="258" t="s">
        <v>140</v>
      </c>
      <c r="E213" s="239" t="s">
        <v>0</v>
      </c>
      <c r="F213" s="235">
        <v>1</v>
      </c>
      <c r="G213" s="236">
        <v>0.15</v>
      </c>
      <c r="H213" s="236">
        <v>2.35</v>
      </c>
      <c r="I213" s="236">
        <v>0.75</v>
      </c>
      <c r="J213" s="235">
        <v>1</v>
      </c>
      <c r="K213" s="236"/>
      <c r="L213" s="237">
        <f t="shared" ref="L213" si="30">((H213+I213)*2)*F213*G213*J213</f>
        <v>0.92999999999999994</v>
      </c>
      <c r="M213" s="111"/>
      <c r="N213" s="111"/>
      <c r="O213" s="111"/>
      <c r="P213" s="111"/>
    </row>
    <row r="214" spans="3:16" x14ac:dyDescent="0.3">
      <c r="C214" s="118"/>
      <c r="D214" s="259" t="s">
        <v>129</v>
      </c>
      <c r="E214" s="260"/>
      <c r="F214" s="255"/>
      <c r="G214" s="256"/>
      <c r="H214" s="256"/>
      <c r="I214" s="256"/>
      <c r="J214" s="229"/>
      <c r="K214" s="230"/>
      <c r="L214" s="230"/>
      <c r="M214" s="113"/>
      <c r="N214" s="113"/>
      <c r="O214" s="113"/>
      <c r="P214" s="113"/>
    </row>
    <row r="215" spans="3:16" x14ac:dyDescent="0.3">
      <c r="C215" s="114"/>
      <c r="D215" s="258" t="s">
        <v>130</v>
      </c>
      <c r="E215" s="239" t="s">
        <v>0</v>
      </c>
      <c r="F215" s="235">
        <v>1</v>
      </c>
      <c r="G215" s="236">
        <v>0.15</v>
      </c>
      <c r="H215" s="236">
        <v>1</v>
      </c>
      <c r="I215" s="236">
        <v>2.85</v>
      </c>
      <c r="J215" s="235">
        <v>1</v>
      </c>
      <c r="K215" s="236"/>
      <c r="L215" s="237">
        <f t="shared" ref="L215:L216" si="31">((H215+I215)*2)*F215*G215*J215</f>
        <v>1.155</v>
      </c>
      <c r="M215" s="111"/>
      <c r="N215" s="111"/>
      <c r="O215" s="111"/>
      <c r="P215" s="111"/>
    </row>
    <row r="216" spans="3:16" x14ac:dyDescent="0.3">
      <c r="C216" s="114"/>
      <c r="D216" s="258" t="s">
        <v>557</v>
      </c>
      <c r="E216" s="239" t="s">
        <v>0</v>
      </c>
      <c r="F216" s="235">
        <v>1</v>
      </c>
      <c r="G216" s="236">
        <v>0.15</v>
      </c>
      <c r="H216" s="236">
        <v>0.6</v>
      </c>
      <c r="I216" s="236">
        <v>2.85</v>
      </c>
      <c r="J216" s="235">
        <v>1</v>
      </c>
      <c r="K216" s="236"/>
      <c r="L216" s="237">
        <f t="shared" si="31"/>
        <v>1.0349999999999999</v>
      </c>
      <c r="M216" s="111"/>
      <c r="N216" s="111"/>
      <c r="O216" s="111"/>
      <c r="P216" s="111"/>
    </row>
    <row r="217" spans="3:16" ht="14.4" x14ac:dyDescent="0.3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3:16" x14ac:dyDescent="0.3">
      <c r="C218" s="99" t="s">
        <v>1185</v>
      </c>
      <c r="D218" s="100" t="s">
        <v>159</v>
      </c>
      <c r="E218" s="101" t="s">
        <v>0</v>
      </c>
      <c r="F218" s="1"/>
      <c r="G218" s="2"/>
      <c r="H218" s="2"/>
      <c r="I218" s="2"/>
      <c r="J218" s="3"/>
      <c r="K218" s="122"/>
      <c r="L218" s="122"/>
      <c r="M218" s="103"/>
      <c r="N218" s="103"/>
      <c r="O218" s="103"/>
      <c r="P218" s="103">
        <f>SUM(L218:L246)</f>
        <v>127.80000000000003</v>
      </c>
    </row>
    <row r="219" spans="3:16" x14ac:dyDescent="0.3">
      <c r="C219" s="106"/>
      <c r="D219" s="267" t="s">
        <v>127</v>
      </c>
      <c r="E219" s="228"/>
      <c r="F219" s="229"/>
      <c r="G219" s="230"/>
      <c r="H219" s="230"/>
      <c r="I219" s="230"/>
      <c r="J219" s="229"/>
      <c r="K219" s="230"/>
      <c r="L219" s="230"/>
      <c r="M219" s="113"/>
      <c r="N219" s="113"/>
      <c r="O219" s="113"/>
      <c r="P219" s="113"/>
    </row>
    <row r="220" spans="3:16" x14ac:dyDescent="0.3">
      <c r="C220" s="114"/>
      <c r="D220" s="258" t="s">
        <v>278</v>
      </c>
      <c r="E220" s="234" t="s">
        <v>0</v>
      </c>
      <c r="F220" s="235">
        <v>1</v>
      </c>
      <c r="G220" s="236" t="s">
        <v>156</v>
      </c>
      <c r="H220" s="236">
        <v>10.47</v>
      </c>
      <c r="I220" s="236"/>
      <c r="J220" s="235">
        <v>1</v>
      </c>
      <c r="K220" s="236"/>
      <c r="L220" s="236">
        <f>PRODUCT(F220:J220)</f>
        <v>10.47</v>
      </c>
      <c r="M220" s="111"/>
      <c r="N220" s="111"/>
      <c r="O220" s="111"/>
      <c r="P220" s="111"/>
    </row>
    <row r="221" spans="3:16" x14ac:dyDescent="0.3">
      <c r="C221" s="114"/>
      <c r="D221" s="258" t="s">
        <v>558</v>
      </c>
      <c r="E221" s="234" t="s">
        <v>0</v>
      </c>
      <c r="F221" s="235">
        <v>1</v>
      </c>
      <c r="G221" s="236" t="s">
        <v>156</v>
      </c>
      <c r="H221" s="236">
        <v>1.67</v>
      </c>
      <c r="I221" s="236"/>
      <c r="J221" s="235">
        <v>1</v>
      </c>
      <c r="K221" s="236"/>
      <c r="L221" s="236">
        <f>PRODUCT(F221:J221)</f>
        <v>1.67</v>
      </c>
      <c r="M221" s="111"/>
      <c r="N221" s="111"/>
      <c r="O221" s="111"/>
      <c r="P221" s="111"/>
    </row>
    <row r="222" spans="3:16" x14ac:dyDescent="0.3">
      <c r="C222" s="114"/>
      <c r="D222" s="258" t="s">
        <v>194</v>
      </c>
      <c r="E222" s="234" t="s">
        <v>0</v>
      </c>
      <c r="F222" s="235">
        <v>1</v>
      </c>
      <c r="G222" s="236" t="s">
        <v>156</v>
      </c>
      <c r="H222" s="236">
        <v>0.68</v>
      </c>
      <c r="I222" s="236"/>
      <c r="J222" s="235">
        <v>1</v>
      </c>
      <c r="K222" s="236"/>
      <c r="L222" s="236">
        <f>PRODUCT(F222:J222)</f>
        <v>0.68</v>
      </c>
      <c r="M222" s="111"/>
      <c r="N222" s="111"/>
      <c r="O222" s="111"/>
      <c r="P222" s="111"/>
    </row>
    <row r="223" spans="3:16" x14ac:dyDescent="0.3">
      <c r="C223" s="114"/>
      <c r="D223" s="258"/>
      <c r="E223" s="234" t="s">
        <v>0</v>
      </c>
      <c r="F223" s="235">
        <v>1</v>
      </c>
      <c r="G223" s="236" t="s">
        <v>156</v>
      </c>
      <c r="H223" s="236">
        <v>6.74</v>
      </c>
      <c r="I223" s="236"/>
      <c r="J223" s="235">
        <v>1</v>
      </c>
      <c r="K223" s="236"/>
      <c r="L223" s="236">
        <f t="shared" ref="L223:L224" si="32">PRODUCT(F223:J223)</f>
        <v>6.74</v>
      </c>
      <c r="M223" s="111"/>
      <c r="N223" s="111"/>
      <c r="O223" s="111"/>
      <c r="P223" s="111"/>
    </row>
    <row r="224" spans="3:16" x14ac:dyDescent="0.3">
      <c r="C224" s="114"/>
      <c r="D224" s="258"/>
      <c r="E224" s="234" t="s">
        <v>0</v>
      </c>
      <c r="F224" s="235">
        <v>1</v>
      </c>
      <c r="G224" s="236" t="s">
        <v>156</v>
      </c>
      <c r="H224" s="236">
        <v>12.48</v>
      </c>
      <c r="I224" s="236"/>
      <c r="J224" s="235">
        <v>1</v>
      </c>
      <c r="K224" s="236"/>
      <c r="L224" s="236">
        <f t="shared" si="32"/>
        <v>12.48</v>
      </c>
      <c r="M224" s="111"/>
      <c r="N224" s="111"/>
      <c r="O224" s="111"/>
      <c r="P224" s="111"/>
    </row>
    <row r="225" spans="3:16" x14ac:dyDescent="0.3">
      <c r="C225" s="106"/>
      <c r="D225" s="267"/>
      <c r="E225" s="228"/>
      <c r="F225" s="229"/>
      <c r="G225" s="230"/>
      <c r="H225" s="230"/>
      <c r="I225" s="230"/>
      <c r="J225" s="229"/>
      <c r="K225" s="230"/>
      <c r="L225" s="230"/>
      <c r="M225" s="113"/>
      <c r="N225" s="113"/>
      <c r="O225" s="113"/>
      <c r="P225" s="113"/>
    </row>
    <row r="226" spans="3:16" x14ac:dyDescent="0.3">
      <c r="C226" s="106"/>
      <c r="D226" s="267" t="s">
        <v>68</v>
      </c>
      <c r="E226" s="228"/>
      <c r="F226" s="229"/>
      <c r="G226" s="230"/>
      <c r="H226" s="230"/>
      <c r="I226" s="230"/>
      <c r="J226" s="229"/>
      <c r="K226" s="230"/>
      <c r="L226" s="230"/>
      <c r="M226" s="113"/>
      <c r="N226" s="113"/>
      <c r="O226" s="113"/>
      <c r="P226" s="113"/>
    </row>
    <row r="227" spans="3:16" x14ac:dyDescent="0.3">
      <c r="C227" s="114"/>
      <c r="D227" s="258" t="s">
        <v>278</v>
      </c>
      <c r="E227" s="234" t="s">
        <v>0</v>
      </c>
      <c r="F227" s="235">
        <v>1</v>
      </c>
      <c r="G227" s="236" t="s">
        <v>156</v>
      </c>
      <c r="H227" s="236">
        <v>10.47</v>
      </c>
      <c r="I227" s="236"/>
      <c r="J227" s="235">
        <v>1</v>
      </c>
      <c r="K227" s="236"/>
      <c r="L227" s="236">
        <f>PRODUCT(F227:J227)</f>
        <v>10.47</v>
      </c>
      <c r="M227" s="111"/>
      <c r="N227" s="111"/>
      <c r="O227" s="111"/>
      <c r="P227" s="111"/>
    </row>
    <row r="228" spans="3:16" x14ac:dyDescent="0.3">
      <c r="C228" s="114"/>
      <c r="D228" s="258" t="s">
        <v>558</v>
      </c>
      <c r="E228" s="234" t="s">
        <v>0</v>
      </c>
      <c r="F228" s="235">
        <v>1</v>
      </c>
      <c r="G228" s="236" t="s">
        <v>156</v>
      </c>
      <c r="H228" s="236">
        <v>1.67</v>
      </c>
      <c r="I228" s="236"/>
      <c r="J228" s="235">
        <v>1</v>
      </c>
      <c r="K228" s="236"/>
      <c r="L228" s="236">
        <f>PRODUCT(F228:J228)</f>
        <v>1.67</v>
      </c>
      <c r="M228" s="111"/>
      <c r="N228" s="111"/>
      <c r="O228" s="111"/>
      <c r="P228" s="111"/>
    </row>
    <row r="229" spans="3:16" x14ac:dyDescent="0.3">
      <c r="C229" s="114"/>
      <c r="D229" s="258" t="s">
        <v>194</v>
      </c>
      <c r="E229" s="234" t="s">
        <v>0</v>
      </c>
      <c r="F229" s="235">
        <v>1</v>
      </c>
      <c r="G229" s="236" t="s">
        <v>156</v>
      </c>
      <c r="H229" s="236">
        <v>0.68</v>
      </c>
      <c r="I229" s="236"/>
      <c r="J229" s="235">
        <v>1</v>
      </c>
      <c r="K229" s="236"/>
      <c r="L229" s="236">
        <f>PRODUCT(F229:J229)</f>
        <v>0.68</v>
      </c>
      <c r="M229" s="111"/>
      <c r="N229" s="111"/>
      <c r="O229" s="111"/>
      <c r="P229" s="111"/>
    </row>
    <row r="230" spans="3:16" x14ac:dyDescent="0.3">
      <c r="C230" s="114"/>
      <c r="D230" s="258"/>
      <c r="E230" s="234" t="s">
        <v>0</v>
      </c>
      <c r="F230" s="235">
        <v>1</v>
      </c>
      <c r="G230" s="236" t="s">
        <v>156</v>
      </c>
      <c r="H230" s="236">
        <v>6.74</v>
      </c>
      <c r="I230" s="236"/>
      <c r="J230" s="235">
        <v>1</v>
      </c>
      <c r="K230" s="236"/>
      <c r="L230" s="236">
        <f t="shared" ref="L230:L231" si="33">PRODUCT(F230:J230)</f>
        <v>6.74</v>
      </c>
      <c r="M230" s="111"/>
      <c r="N230" s="111"/>
      <c r="O230" s="111"/>
      <c r="P230" s="111"/>
    </row>
    <row r="231" spans="3:16" x14ac:dyDescent="0.3">
      <c r="C231" s="114"/>
      <c r="D231" s="258"/>
      <c r="E231" s="234" t="s">
        <v>0</v>
      </c>
      <c r="F231" s="235">
        <v>1</v>
      </c>
      <c r="G231" s="236" t="s">
        <v>156</v>
      </c>
      <c r="H231" s="236">
        <v>12.48</v>
      </c>
      <c r="I231" s="236"/>
      <c r="J231" s="235">
        <v>1</v>
      </c>
      <c r="K231" s="236"/>
      <c r="L231" s="236">
        <f t="shared" si="33"/>
        <v>12.48</v>
      </c>
      <c r="M231" s="111"/>
      <c r="N231" s="111"/>
      <c r="O231" s="111"/>
      <c r="P231" s="111"/>
    </row>
    <row r="232" spans="3:16" x14ac:dyDescent="0.3">
      <c r="C232" s="106"/>
      <c r="D232" s="267"/>
      <c r="E232" s="228"/>
      <c r="F232" s="229"/>
      <c r="G232" s="230"/>
      <c r="H232" s="230"/>
      <c r="I232" s="230"/>
      <c r="J232" s="229"/>
      <c r="K232" s="230"/>
      <c r="L232" s="230"/>
      <c r="M232" s="113"/>
      <c r="N232" s="113"/>
      <c r="O232" s="113"/>
      <c r="P232" s="113"/>
    </row>
    <row r="233" spans="3:16" x14ac:dyDescent="0.3">
      <c r="C233" s="106"/>
      <c r="D233" s="267" t="s">
        <v>106</v>
      </c>
      <c r="E233" s="228"/>
      <c r="F233" s="229"/>
      <c r="G233" s="230"/>
      <c r="H233" s="230"/>
      <c r="I233" s="230"/>
      <c r="J233" s="229"/>
      <c r="K233" s="230"/>
      <c r="L233" s="230"/>
      <c r="M233" s="113"/>
      <c r="N233" s="113"/>
      <c r="O233" s="113"/>
      <c r="P233" s="113"/>
    </row>
    <row r="234" spans="3:16" x14ac:dyDescent="0.3">
      <c r="C234" s="114"/>
      <c r="D234" s="258" t="s">
        <v>278</v>
      </c>
      <c r="E234" s="234" t="s">
        <v>0</v>
      </c>
      <c r="F234" s="235">
        <v>1</v>
      </c>
      <c r="G234" s="236" t="s">
        <v>156</v>
      </c>
      <c r="H234" s="236">
        <v>10.47</v>
      </c>
      <c r="I234" s="236"/>
      <c r="J234" s="235">
        <v>1</v>
      </c>
      <c r="K234" s="236"/>
      <c r="L234" s="236">
        <f>PRODUCT(F234:J234)</f>
        <v>10.47</v>
      </c>
      <c r="M234" s="111"/>
      <c r="N234" s="111"/>
      <c r="O234" s="111"/>
      <c r="P234" s="111"/>
    </row>
    <row r="235" spans="3:16" x14ac:dyDescent="0.3">
      <c r="C235" s="114"/>
      <c r="D235" s="258" t="s">
        <v>558</v>
      </c>
      <c r="E235" s="234" t="s">
        <v>0</v>
      </c>
      <c r="F235" s="235">
        <v>1</v>
      </c>
      <c r="G235" s="236" t="s">
        <v>156</v>
      </c>
      <c r="H235" s="236">
        <v>1.67</v>
      </c>
      <c r="I235" s="236"/>
      <c r="J235" s="235">
        <v>1</v>
      </c>
      <c r="K235" s="236"/>
      <c r="L235" s="236">
        <f>PRODUCT(F235:J235)</f>
        <v>1.67</v>
      </c>
      <c r="M235" s="111"/>
      <c r="N235" s="111"/>
      <c r="O235" s="111"/>
      <c r="P235" s="111"/>
    </row>
    <row r="236" spans="3:16" x14ac:dyDescent="0.3">
      <c r="C236" s="114"/>
      <c r="D236" s="258" t="s">
        <v>194</v>
      </c>
      <c r="E236" s="234" t="s">
        <v>0</v>
      </c>
      <c r="F236" s="235">
        <v>1</v>
      </c>
      <c r="G236" s="236" t="s">
        <v>156</v>
      </c>
      <c r="H236" s="236">
        <v>0.68</v>
      </c>
      <c r="I236" s="236"/>
      <c r="J236" s="235">
        <v>1</v>
      </c>
      <c r="K236" s="236"/>
      <c r="L236" s="236">
        <f>PRODUCT(F236:J236)</f>
        <v>0.68</v>
      </c>
      <c r="M236" s="111"/>
      <c r="N236" s="111"/>
      <c r="O236" s="111"/>
      <c r="P236" s="111"/>
    </row>
    <row r="237" spans="3:16" x14ac:dyDescent="0.3">
      <c r="C237" s="114"/>
      <c r="D237" s="258"/>
      <c r="E237" s="234" t="s">
        <v>0</v>
      </c>
      <c r="F237" s="235">
        <v>1</v>
      </c>
      <c r="G237" s="236" t="s">
        <v>156</v>
      </c>
      <c r="H237" s="236">
        <v>6.74</v>
      </c>
      <c r="I237" s="236"/>
      <c r="J237" s="235">
        <v>1</v>
      </c>
      <c r="K237" s="236"/>
      <c r="L237" s="236">
        <f t="shared" ref="L237:L238" si="34">PRODUCT(F237:J237)</f>
        <v>6.74</v>
      </c>
      <c r="M237" s="111"/>
      <c r="N237" s="111"/>
      <c r="O237" s="111"/>
      <c r="P237" s="111"/>
    </row>
    <row r="238" spans="3:16" x14ac:dyDescent="0.3">
      <c r="C238" s="114"/>
      <c r="D238" s="258"/>
      <c r="E238" s="234" t="s">
        <v>0</v>
      </c>
      <c r="F238" s="235">
        <v>1</v>
      </c>
      <c r="G238" s="236" t="s">
        <v>156</v>
      </c>
      <c r="H238" s="236">
        <v>12.48</v>
      </c>
      <c r="I238" s="236"/>
      <c r="J238" s="235">
        <v>1</v>
      </c>
      <c r="K238" s="236"/>
      <c r="L238" s="236">
        <f t="shared" si="34"/>
        <v>12.48</v>
      </c>
      <c r="M238" s="111"/>
      <c r="N238" s="111"/>
      <c r="O238" s="111"/>
      <c r="P238" s="111"/>
    </row>
    <row r="239" spans="3:16" x14ac:dyDescent="0.3">
      <c r="C239" s="114"/>
      <c r="D239" s="258"/>
      <c r="E239" s="234"/>
      <c r="F239" s="235"/>
      <c r="G239" s="236"/>
      <c r="H239" s="236"/>
      <c r="I239" s="236"/>
      <c r="J239" s="235"/>
      <c r="K239" s="236"/>
      <c r="L239" s="236"/>
      <c r="M239" s="111"/>
      <c r="N239" s="111"/>
      <c r="O239" s="111"/>
      <c r="P239" s="111"/>
    </row>
    <row r="240" spans="3:16" x14ac:dyDescent="0.3">
      <c r="C240" s="106"/>
      <c r="D240" s="267" t="s">
        <v>51</v>
      </c>
      <c r="E240" s="228"/>
      <c r="F240" s="229"/>
      <c r="G240" s="230"/>
      <c r="H240" s="230"/>
      <c r="I240" s="230"/>
      <c r="J240" s="229"/>
      <c r="K240" s="230"/>
      <c r="L240" s="230"/>
      <c r="M240" s="113"/>
      <c r="N240" s="113"/>
      <c r="O240" s="113"/>
      <c r="P240" s="113"/>
    </row>
    <row r="241" spans="3:16" x14ac:dyDescent="0.3">
      <c r="C241" s="114"/>
      <c r="D241" s="258" t="s">
        <v>278</v>
      </c>
      <c r="E241" s="234" t="s">
        <v>0</v>
      </c>
      <c r="F241" s="235">
        <v>1</v>
      </c>
      <c r="G241" s="236" t="s">
        <v>156</v>
      </c>
      <c r="H241" s="236">
        <v>10.47</v>
      </c>
      <c r="I241" s="236"/>
      <c r="J241" s="235">
        <v>1</v>
      </c>
      <c r="K241" s="236"/>
      <c r="L241" s="236">
        <f>PRODUCT(F241:J241)</f>
        <v>10.47</v>
      </c>
      <c r="M241" s="111"/>
      <c r="N241" s="111"/>
      <c r="O241" s="111"/>
      <c r="P241" s="111"/>
    </row>
    <row r="242" spans="3:16" x14ac:dyDescent="0.3">
      <c r="C242" s="114"/>
      <c r="D242" s="258" t="s">
        <v>558</v>
      </c>
      <c r="E242" s="234" t="s">
        <v>0</v>
      </c>
      <c r="F242" s="235">
        <v>1</v>
      </c>
      <c r="G242" s="236" t="s">
        <v>156</v>
      </c>
      <c r="H242" s="236">
        <v>1.67</v>
      </c>
      <c r="I242" s="236"/>
      <c r="J242" s="235">
        <v>1</v>
      </c>
      <c r="K242" s="236"/>
      <c r="L242" s="236">
        <f>PRODUCT(F242:J242)</f>
        <v>1.67</v>
      </c>
      <c r="M242" s="111"/>
      <c r="N242" s="111"/>
      <c r="O242" s="111"/>
      <c r="P242" s="111"/>
    </row>
    <row r="243" spans="3:16" x14ac:dyDescent="0.3">
      <c r="C243" s="114"/>
      <c r="D243" s="258" t="s">
        <v>194</v>
      </c>
      <c r="E243" s="234" t="s">
        <v>0</v>
      </c>
      <c r="F243" s="235">
        <v>1</v>
      </c>
      <c r="G243" s="236" t="s">
        <v>156</v>
      </c>
      <c r="H243" s="236">
        <v>0.68</v>
      </c>
      <c r="I243" s="236"/>
      <c r="J243" s="235">
        <v>1</v>
      </c>
      <c r="K243" s="236"/>
      <c r="L243" s="236">
        <f>PRODUCT(F243:J243)</f>
        <v>0.68</v>
      </c>
      <c r="M243" s="111"/>
      <c r="N243" s="111"/>
      <c r="O243" s="111"/>
      <c r="P243" s="111"/>
    </row>
    <row r="244" spans="3:16" x14ac:dyDescent="0.3">
      <c r="C244" s="114"/>
      <c r="D244" s="258"/>
      <c r="E244" s="234" t="s">
        <v>0</v>
      </c>
      <c r="F244" s="235">
        <v>1</v>
      </c>
      <c r="G244" s="236" t="s">
        <v>156</v>
      </c>
      <c r="H244" s="236">
        <v>6.74</v>
      </c>
      <c r="I244" s="236"/>
      <c r="J244" s="235">
        <v>1</v>
      </c>
      <c r="K244" s="236"/>
      <c r="L244" s="236">
        <f t="shared" ref="L244:L246" si="35">PRODUCT(F244:J244)</f>
        <v>6.74</v>
      </c>
      <c r="M244" s="111"/>
      <c r="N244" s="111"/>
      <c r="O244" s="111"/>
      <c r="P244" s="111"/>
    </row>
    <row r="245" spans="3:16" x14ac:dyDescent="0.3">
      <c r="C245" s="114"/>
      <c r="D245" s="258"/>
      <c r="E245" s="234" t="s">
        <v>0</v>
      </c>
      <c r="F245" s="235">
        <v>1</v>
      </c>
      <c r="G245" s="236" t="s">
        <v>156</v>
      </c>
      <c r="H245" s="236">
        <v>12.48</v>
      </c>
      <c r="I245" s="236"/>
      <c r="J245" s="235">
        <v>1</v>
      </c>
      <c r="K245" s="236"/>
      <c r="L245" s="236">
        <f t="shared" si="35"/>
        <v>12.48</v>
      </c>
      <c r="M245" s="111"/>
      <c r="N245" s="111"/>
      <c r="O245" s="111"/>
      <c r="P245" s="111"/>
    </row>
    <row r="246" spans="3:16" x14ac:dyDescent="0.3">
      <c r="C246" s="114"/>
      <c r="D246" s="258"/>
      <c r="E246" s="234" t="s">
        <v>0</v>
      </c>
      <c r="F246" s="235">
        <v>-1</v>
      </c>
      <c r="G246" s="236" t="s">
        <v>156</v>
      </c>
      <c r="H246" s="236">
        <v>0.36</v>
      </c>
      <c r="I246" s="236"/>
      <c r="J246" s="235">
        <v>1</v>
      </c>
      <c r="K246" s="236"/>
      <c r="L246" s="236">
        <f t="shared" si="35"/>
        <v>-0.36</v>
      </c>
      <c r="M246" s="111"/>
      <c r="N246" s="111"/>
      <c r="O246" s="111"/>
      <c r="P246" s="111"/>
    </row>
    <row r="247" spans="3:16" x14ac:dyDescent="0.3">
      <c r="C247" s="114"/>
      <c r="D247" s="233" t="s">
        <v>771</v>
      </c>
      <c r="E247" s="234" t="s">
        <v>0</v>
      </c>
      <c r="F247" s="235">
        <v>1</v>
      </c>
      <c r="G247" s="236">
        <f>0.15</f>
        <v>0.15</v>
      </c>
      <c r="H247" s="236"/>
      <c r="I247" s="236">
        <v>3.88</v>
      </c>
      <c r="J247" s="235">
        <v>1</v>
      </c>
      <c r="K247" s="237"/>
      <c r="L247" s="237">
        <f t="shared" ref="L247:L248" si="36">IF(F247="","",PRODUCT(F247:J247))</f>
        <v>0.58199999999999996</v>
      </c>
      <c r="M247" s="111"/>
      <c r="N247" s="111"/>
      <c r="O247" s="111"/>
      <c r="P247" s="111"/>
    </row>
    <row r="248" spans="3:16" x14ac:dyDescent="0.3">
      <c r="C248" s="114"/>
      <c r="D248" s="233" t="s">
        <v>772</v>
      </c>
      <c r="E248" s="234" t="s">
        <v>0</v>
      </c>
      <c r="F248" s="235">
        <v>1</v>
      </c>
      <c r="G248" s="236">
        <f>1.3+1.2</f>
        <v>2.5</v>
      </c>
      <c r="H248" s="236"/>
      <c r="I248" s="236">
        <v>2.88</v>
      </c>
      <c r="J248" s="235">
        <v>1</v>
      </c>
      <c r="K248" s="237"/>
      <c r="L248" s="237">
        <f t="shared" si="36"/>
        <v>7.1999999999999993</v>
      </c>
      <c r="M248" s="111"/>
      <c r="N248" s="111"/>
      <c r="O248" s="111"/>
      <c r="P248" s="111"/>
    </row>
    <row r="249" spans="3:16" x14ac:dyDescent="0.3">
      <c r="C249" s="114"/>
      <c r="D249" s="115" t="s">
        <v>773</v>
      </c>
      <c r="E249" s="121"/>
      <c r="F249" s="3"/>
      <c r="G249" s="122" t="s">
        <v>198</v>
      </c>
      <c r="H249" s="110"/>
      <c r="I249" s="110"/>
      <c r="J249" s="109"/>
      <c r="K249" s="111"/>
      <c r="L249" s="111"/>
      <c r="M249" s="111"/>
      <c r="N249" s="111"/>
      <c r="O249" s="111"/>
      <c r="P249" s="111"/>
    </row>
    <row r="250" spans="3:16" x14ac:dyDescent="0.3">
      <c r="C250" s="114"/>
      <c r="D250" s="233" t="s">
        <v>743</v>
      </c>
      <c r="E250" s="234" t="s">
        <v>0</v>
      </c>
      <c r="F250" s="235">
        <v>1</v>
      </c>
      <c r="G250" s="236">
        <f>0.25+0.15</f>
        <v>0.4</v>
      </c>
      <c r="H250" s="236"/>
      <c r="I250" s="236">
        <v>2.88</v>
      </c>
      <c r="J250" s="235">
        <v>1</v>
      </c>
      <c r="K250" s="237"/>
      <c r="L250" s="237">
        <f>IF(F250="","",PRODUCT(F250:J250))</f>
        <v>1.1519999999999999</v>
      </c>
      <c r="M250" s="111"/>
      <c r="N250" s="111"/>
      <c r="O250" s="111"/>
      <c r="P250" s="111"/>
    </row>
    <row r="251" spans="3:16" x14ac:dyDescent="0.3">
      <c r="C251" s="114"/>
      <c r="D251" s="233" t="s">
        <v>744</v>
      </c>
      <c r="E251" s="234" t="s">
        <v>0</v>
      </c>
      <c r="F251" s="235">
        <v>1</v>
      </c>
      <c r="G251" s="236">
        <f>1.2+1.3+1.2</f>
        <v>3.7</v>
      </c>
      <c r="H251" s="236"/>
      <c r="I251" s="236">
        <v>2.88</v>
      </c>
      <c r="J251" s="235">
        <v>1</v>
      </c>
      <c r="K251" s="237"/>
      <c r="L251" s="237">
        <f>IF(F251="","",PRODUCT(F251:J251))</f>
        <v>10.656000000000001</v>
      </c>
      <c r="M251" s="111"/>
      <c r="N251" s="111"/>
      <c r="O251" s="111"/>
      <c r="P251" s="111"/>
    </row>
    <row r="252" spans="3:16" x14ac:dyDescent="0.3">
      <c r="C252" s="114"/>
      <c r="D252" s="233" t="s">
        <v>745</v>
      </c>
      <c r="E252" s="234" t="s">
        <v>0</v>
      </c>
      <c r="F252" s="235">
        <v>1</v>
      </c>
      <c r="G252" s="236">
        <f>0.25+0.25+0.25+0.1</f>
        <v>0.85</v>
      </c>
      <c r="H252" s="236"/>
      <c r="I252" s="236">
        <v>2.88</v>
      </c>
      <c r="J252" s="235">
        <v>1</v>
      </c>
      <c r="K252" s="237"/>
      <c r="L252" s="237">
        <f t="shared" ref="L252:L259" si="37">IF(F252="","",PRODUCT(F252:J252))</f>
        <v>2.448</v>
      </c>
      <c r="M252" s="111"/>
      <c r="N252" s="111"/>
      <c r="O252" s="111"/>
      <c r="P252" s="111"/>
    </row>
    <row r="253" spans="3:16" x14ac:dyDescent="0.3">
      <c r="C253" s="114"/>
      <c r="D253" s="233" t="s">
        <v>746</v>
      </c>
      <c r="E253" s="234" t="s">
        <v>0</v>
      </c>
      <c r="F253" s="235">
        <v>1</v>
      </c>
      <c r="G253" s="236">
        <f>0.15+0.25+0.25+0.25</f>
        <v>0.9</v>
      </c>
      <c r="H253" s="236"/>
      <c r="I253" s="236">
        <v>2.88</v>
      </c>
      <c r="J253" s="235">
        <v>1</v>
      </c>
      <c r="K253" s="237"/>
      <c r="L253" s="237">
        <f t="shared" si="37"/>
        <v>2.5920000000000001</v>
      </c>
      <c r="M253" s="111"/>
      <c r="N253" s="111"/>
      <c r="O253" s="111"/>
      <c r="P253" s="111"/>
    </row>
    <row r="254" spans="3:16" x14ac:dyDescent="0.3">
      <c r="C254" s="114"/>
      <c r="D254" s="233" t="s">
        <v>747</v>
      </c>
      <c r="E254" s="234" t="s">
        <v>0</v>
      </c>
      <c r="F254" s="235">
        <v>1</v>
      </c>
      <c r="G254" s="236">
        <v>1.2</v>
      </c>
      <c r="H254" s="236"/>
      <c r="I254" s="236">
        <v>2.88</v>
      </c>
      <c r="J254" s="235">
        <v>1</v>
      </c>
      <c r="K254" s="237"/>
      <c r="L254" s="237">
        <f t="shared" si="37"/>
        <v>3.456</v>
      </c>
      <c r="M254" s="111"/>
      <c r="N254" s="111"/>
      <c r="O254" s="111"/>
      <c r="P254" s="111"/>
    </row>
    <row r="255" spans="3:16" x14ac:dyDescent="0.3">
      <c r="C255" s="114"/>
      <c r="D255" s="233"/>
      <c r="E255" s="234" t="s">
        <v>0</v>
      </c>
      <c r="F255" s="235">
        <v>1</v>
      </c>
      <c r="G255" s="236">
        <v>1.3</v>
      </c>
      <c r="H255" s="236"/>
      <c r="I255" s="236">
        <v>2.88</v>
      </c>
      <c r="J255" s="235">
        <v>1</v>
      </c>
      <c r="K255" s="237"/>
      <c r="L255" s="237">
        <f t="shared" si="37"/>
        <v>3.7439999999999998</v>
      </c>
      <c r="M255" s="111"/>
      <c r="N255" s="111"/>
      <c r="O255" s="111"/>
      <c r="P255" s="111"/>
    </row>
    <row r="256" spans="3:16" x14ac:dyDescent="0.3">
      <c r="C256" s="114"/>
      <c r="D256" s="233" t="s">
        <v>748</v>
      </c>
      <c r="E256" s="234" t="s">
        <v>0</v>
      </c>
      <c r="F256" s="235">
        <v>1</v>
      </c>
      <c r="G256" s="236">
        <f>0.25+0.25+0.25+0.25</f>
        <v>1</v>
      </c>
      <c r="H256" s="236"/>
      <c r="I256" s="236">
        <v>2.88</v>
      </c>
      <c r="J256" s="235">
        <v>1</v>
      </c>
      <c r="K256" s="237"/>
      <c r="L256" s="237">
        <f t="shared" si="37"/>
        <v>2.88</v>
      </c>
      <c r="M256" s="111"/>
      <c r="N256" s="111"/>
      <c r="O256" s="111"/>
      <c r="P256" s="111"/>
    </row>
    <row r="257" spans="3:16" x14ac:dyDescent="0.3">
      <c r="C257" s="114"/>
      <c r="D257" s="233" t="s">
        <v>749</v>
      </c>
      <c r="E257" s="234" t="s">
        <v>0</v>
      </c>
      <c r="F257" s="235">
        <v>1</v>
      </c>
      <c r="G257" s="236">
        <f>0.25+0.1+0.15+0.1</f>
        <v>0.6</v>
      </c>
      <c r="H257" s="236"/>
      <c r="I257" s="236">
        <v>2.88</v>
      </c>
      <c r="J257" s="235">
        <v>1</v>
      </c>
      <c r="K257" s="237"/>
      <c r="L257" s="237">
        <f t="shared" si="37"/>
        <v>1.728</v>
      </c>
      <c r="M257" s="111"/>
      <c r="N257" s="111"/>
      <c r="O257" s="111"/>
      <c r="P257" s="111"/>
    </row>
    <row r="258" spans="3:16" x14ac:dyDescent="0.3">
      <c r="C258" s="114"/>
      <c r="D258" s="233" t="s">
        <v>750</v>
      </c>
      <c r="E258" s="234" t="s">
        <v>0</v>
      </c>
      <c r="F258" s="235">
        <v>1</v>
      </c>
      <c r="G258" s="236">
        <f>1.2+1.2+0.25</f>
        <v>2.65</v>
      </c>
      <c r="H258" s="236"/>
      <c r="I258" s="236">
        <v>2.88</v>
      </c>
      <c r="J258" s="235">
        <v>1</v>
      </c>
      <c r="K258" s="237"/>
      <c r="L258" s="237">
        <f t="shared" si="37"/>
        <v>7.6319999999999997</v>
      </c>
      <c r="M258" s="111"/>
      <c r="N258" s="111"/>
      <c r="O258" s="111"/>
      <c r="P258" s="111"/>
    </row>
    <row r="259" spans="3:16" x14ac:dyDescent="0.3">
      <c r="C259" s="114"/>
      <c r="D259" s="233" t="s">
        <v>751</v>
      </c>
      <c r="E259" s="234" t="s">
        <v>0</v>
      </c>
      <c r="F259" s="235">
        <v>1</v>
      </c>
      <c r="G259" s="236">
        <f>0.15+0.25+0.3</f>
        <v>0.7</v>
      </c>
      <c r="H259" s="236"/>
      <c r="I259" s="236">
        <v>2.88</v>
      </c>
      <c r="J259" s="235">
        <v>1</v>
      </c>
      <c r="K259" s="237"/>
      <c r="L259" s="237">
        <f t="shared" si="37"/>
        <v>2.016</v>
      </c>
      <c r="M259" s="111"/>
      <c r="N259" s="111"/>
      <c r="O259" s="111"/>
      <c r="P259" s="111"/>
    </row>
    <row r="260" spans="3:16" x14ac:dyDescent="0.3">
      <c r="C260" s="114"/>
      <c r="D260" s="233" t="s">
        <v>752</v>
      </c>
      <c r="E260" s="234" t="s">
        <v>0</v>
      </c>
      <c r="F260" s="235">
        <v>1</v>
      </c>
      <c r="G260" s="236">
        <f>0.05+0.4+0.05+0.05+0.4+0.05</f>
        <v>1</v>
      </c>
      <c r="H260" s="236"/>
      <c r="I260" s="236">
        <v>2.88</v>
      </c>
      <c r="J260" s="235">
        <v>1</v>
      </c>
      <c r="K260" s="237"/>
      <c r="L260" s="237">
        <f>IF(F260="","",PRODUCT(F260:J260))</f>
        <v>2.88</v>
      </c>
      <c r="M260" s="111"/>
      <c r="N260" s="111"/>
      <c r="O260" s="111"/>
      <c r="P260" s="111"/>
    </row>
    <row r="261" spans="3:16" x14ac:dyDescent="0.3">
      <c r="C261" s="114"/>
      <c r="D261" s="233" t="s">
        <v>753</v>
      </c>
      <c r="E261" s="234" t="s">
        <v>0</v>
      </c>
      <c r="F261" s="235">
        <v>1</v>
      </c>
      <c r="G261" s="236">
        <f>0.15+0.05+0.05+0.3</f>
        <v>0.55000000000000004</v>
      </c>
      <c r="H261" s="236"/>
      <c r="I261" s="236">
        <v>2.88</v>
      </c>
      <c r="J261" s="235">
        <v>1</v>
      </c>
      <c r="K261" s="237"/>
      <c r="L261" s="237">
        <f t="shared" ref="L261" si="38">IF(F261="","",PRODUCT(F261:J261))</f>
        <v>1.5840000000000001</v>
      </c>
      <c r="M261" s="111"/>
      <c r="N261" s="111"/>
      <c r="O261" s="111"/>
      <c r="P261" s="111"/>
    </row>
    <row r="262" spans="3:16" x14ac:dyDescent="0.3">
      <c r="C262" s="114"/>
      <c r="D262" s="233" t="s">
        <v>754</v>
      </c>
      <c r="E262" s="234" t="s">
        <v>0</v>
      </c>
      <c r="F262" s="235">
        <v>1</v>
      </c>
      <c r="G262" s="236">
        <f>0.1+0.15</f>
        <v>0.25</v>
      </c>
      <c r="H262" s="236"/>
      <c r="I262" s="236">
        <v>2.88</v>
      </c>
      <c r="J262" s="235">
        <v>1</v>
      </c>
      <c r="K262" s="237"/>
      <c r="L262" s="237">
        <f>IF(F262="","",PRODUCT(F262:J262))</f>
        <v>0.72</v>
      </c>
      <c r="M262" s="111"/>
      <c r="N262" s="111"/>
      <c r="O262" s="111"/>
      <c r="P262" s="111"/>
    </row>
    <row r="263" spans="3:16" x14ac:dyDescent="0.3">
      <c r="C263" s="114"/>
      <c r="D263" s="233" t="s">
        <v>755</v>
      </c>
      <c r="E263" s="234" t="s">
        <v>0</v>
      </c>
      <c r="F263" s="235">
        <v>1</v>
      </c>
      <c r="G263" s="236">
        <f>0.1+0.15</f>
        <v>0.25</v>
      </c>
      <c r="H263" s="236"/>
      <c r="I263" s="236">
        <v>2.88</v>
      </c>
      <c r="J263" s="235">
        <v>1</v>
      </c>
      <c r="K263" s="237"/>
      <c r="L263" s="237">
        <f>IF(F263="","",PRODUCT(F263:J263))</f>
        <v>0.72</v>
      </c>
      <c r="M263" s="111"/>
      <c r="N263" s="111"/>
      <c r="O263" s="111"/>
      <c r="P263" s="111"/>
    </row>
    <row r="264" spans="3:16" x14ac:dyDescent="0.3">
      <c r="C264" s="114"/>
      <c r="D264" s="233" t="s">
        <v>756</v>
      </c>
      <c r="E264" s="234" t="s">
        <v>0</v>
      </c>
      <c r="F264" s="235">
        <v>1</v>
      </c>
      <c r="G264" s="236">
        <f>1.2+0.25+1.2+1.2+0.1</f>
        <v>3.9499999999999997</v>
      </c>
      <c r="H264" s="236"/>
      <c r="I264" s="236">
        <v>2.88</v>
      </c>
      <c r="J264" s="235">
        <v>1</v>
      </c>
      <c r="K264" s="237"/>
      <c r="L264" s="237">
        <f t="shared" ref="L264:L269" si="39">IF(F264="","",PRODUCT(F264:J264))</f>
        <v>11.375999999999999</v>
      </c>
      <c r="M264" s="111"/>
      <c r="N264" s="111"/>
      <c r="O264" s="111"/>
      <c r="P264" s="111"/>
    </row>
    <row r="265" spans="3:16" x14ac:dyDescent="0.3">
      <c r="C265" s="114"/>
      <c r="D265" s="233" t="s">
        <v>757</v>
      </c>
      <c r="E265" s="234" t="s">
        <v>0</v>
      </c>
      <c r="F265" s="235">
        <v>1</v>
      </c>
      <c r="G265" s="236">
        <f>0.4</f>
        <v>0.4</v>
      </c>
      <c r="H265" s="236"/>
      <c r="I265" s="236">
        <v>3.16</v>
      </c>
      <c r="J265" s="235">
        <v>1</v>
      </c>
      <c r="K265" s="237"/>
      <c r="L265" s="237">
        <f t="shared" si="39"/>
        <v>1.2640000000000002</v>
      </c>
      <c r="M265" s="111"/>
      <c r="N265" s="111"/>
      <c r="O265" s="111"/>
      <c r="P265" s="111"/>
    </row>
    <row r="266" spans="3:16" x14ac:dyDescent="0.3">
      <c r="C266" s="114"/>
      <c r="D266" s="233" t="s">
        <v>758</v>
      </c>
      <c r="E266" s="234" t="s">
        <v>0</v>
      </c>
      <c r="F266" s="235">
        <v>1</v>
      </c>
      <c r="G266" s="236">
        <f>0.25+0.4</f>
        <v>0.65</v>
      </c>
      <c r="H266" s="236"/>
      <c r="I266" s="236">
        <v>2.88</v>
      </c>
      <c r="J266" s="235">
        <v>1</v>
      </c>
      <c r="K266" s="237"/>
      <c r="L266" s="237">
        <f t="shared" si="39"/>
        <v>1.8719999999999999</v>
      </c>
      <c r="M266" s="111"/>
      <c r="N266" s="111"/>
      <c r="O266" s="111"/>
      <c r="P266" s="111"/>
    </row>
    <row r="267" spans="3:16" x14ac:dyDescent="0.3">
      <c r="C267" s="114"/>
      <c r="D267" s="233" t="s">
        <v>759</v>
      </c>
      <c r="E267" s="234" t="s">
        <v>0</v>
      </c>
      <c r="F267" s="235">
        <v>1</v>
      </c>
      <c r="G267" s="236">
        <f>0.4+0.4</f>
        <v>0.8</v>
      </c>
      <c r="H267" s="236"/>
      <c r="I267" s="236">
        <v>2.88</v>
      </c>
      <c r="J267" s="235">
        <v>1</v>
      </c>
      <c r="K267" s="237"/>
      <c r="L267" s="237">
        <f t="shared" si="39"/>
        <v>2.3039999999999998</v>
      </c>
      <c r="M267" s="111"/>
      <c r="N267" s="111"/>
      <c r="O267" s="111"/>
      <c r="P267" s="111"/>
    </row>
    <row r="268" spans="3:16" x14ac:dyDescent="0.3">
      <c r="C268" s="114"/>
      <c r="D268" s="233" t="s">
        <v>760</v>
      </c>
      <c r="E268" s="234" t="s">
        <v>0</v>
      </c>
      <c r="F268" s="235">
        <v>1</v>
      </c>
      <c r="G268" s="236">
        <f>0.4+0.25</f>
        <v>0.65</v>
      </c>
      <c r="H268" s="236"/>
      <c r="I268" s="236">
        <v>2.88</v>
      </c>
      <c r="J268" s="235">
        <v>1</v>
      </c>
      <c r="K268" s="237"/>
      <c r="L268" s="237">
        <f t="shared" si="39"/>
        <v>1.8719999999999999</v>
      </c>
      <c r="M268" s="111"/>
      <c r="N268" s="111"/>
      <c r="O268" s="111"/>
      <c r="P268" s="111"/>
    </row>
    <row r="269" spans="3:16" x14ac:dyDescent="0.3">
      <c r="C269" s="114"/>
      <c r="D269" s="233" t="s">
        <v>761</v>
      </c>
      <c r="E269" s="234" t="s">
        <v>0</v>
      </c>
      <c r="F269" s="235">
        <v>1</v>
      </c>
      <c r="G269" s="236">
        <f>0.15+0.25+0.15</f>
        <v>0.55000000000000004</v>
      </c>
      <c r="H269" s="236"/>
      <c r="I269" s="236">
        <v>2.88</v>
      </c>
      <c r="J269" s="235">
        <v>1</v>
      </c>
      <c r="K269" s="237"/>
      <c r="L269" s="237">
        <f t="shared" si="39"/>
        <v>1.5840000000000001</v>
      </c>
      <c r="M269" s="111"/>
      <c r="N269" s="111"/>
      <c r="O269" s="111"/>
      <c r="P269" s="111"/>
    </row>
    <row r="270" spans="3:16" x14ac:dyDescent="0.3">
      <c r="C270" s="114"/>
      <c r="D270" s="233" t="s">
        <v>762</v>
      </c>
      <c r="E270" s="234" t="s">
        <v>0</v>
      </c>
      <c r="F270" s="235">
        <v>1</v>
      </c>
      <c r="G270" s="236">
        <v>0.15</v>
      </c>
      <c r="H270" s="236"/>
      <c r="I270" s="236">
        <v>2.88</v>
      </c>
      <c r="J270" s="235">
        <v>1</v>
      </c>
      <c r="K270" s="237"/>
      <c r="L270" s="237">
        <f>IF(F270="","",PRODUCT(F270:J270))</f>
        <v>0.432</v>
      </c>
      <c r="M270" s="111"/>
      <c r="N270" s="111"/>
      <c r="O270" s="111"/>
      <c r="P270" s="111"/>
    </row>
    <row r="271" spans="3:16" x14ac:dyDescent="0.3">
      <c r="C271" s="114"/>
      <c r="D271" s="233" t="s">
        <v>763</v>
      </c>
      <c r="E271" s="234" t="s">
        <v>0</v>
      </c>
      <c r="F271" s="235">
        <v>1</v>
      </c>
      <c r="G271" s="236">
        <f>1.2+1.3</f>
        <v>2.5</v>
      </c>
      <c r="H271" s="236"/>
      <c r="I271" s="236">
        <v>2.88</v>
      </c>
      <c r="J271" s="235">
        <v>1</v>
      </c>
      <c r="K271" s="237"/>
      <c r="L271" s="237">
        <f>IF(F271="","",PRODUCT(F271:J271))</f>
        <v>7.1999999999999993</v>
      </c>
      <c r="M271" s="111"/>
      <c r="N271" s="111"/>
      <c r="O271" s="111"/>
      <c r="P271" s="111"/>
    </row>
    <row r="272" spans="3:16" x14ac:dyDescent="0.3">
      <c r="C272" s="114"/>
      <c r="D272" s="233" t="s">
        <v>764</v>
      </c>
      <c r="E272" s="234" t="s">
        <v>0</v>
      </c>
      <c r="F272" s="235">
        <v>1</v>
      </c>
      <c r="G272" s="236">
        <f>0.25+0.1+0.15</f>
        <v>0.5</v>
      </c>
      <c r="H272" s="236"/>
      <c r="I272" s="236">
        <v>2.88</v>
      </c>
      <c r="J272" s="235">
        <v>1</v>
      </c>
      <c r="K272" s="237"/>
      <c r="L272" s="237">
        <f t="shared" ref="L272:L275" si="40">IF(F272="","",PRODUCT(F272:J272))</f>
        <v>1.44</v>
      </c>
      <c r="M272" s="111"/>
      <c r="N272" s="111"/>
      <c r="O272" s="111"/>
      <c r="P272" s="111"/>
    </row>
    <row r="273" spans="3:16" x14ac:dyDescent="0.3">
      <c r="C273" s="114"/>
      <c r="D273" s="233" t="s">
        <v>765</v>
      </c>
      <c r="E273" s="234" t="s">
        <v>0</v>
      </c>
      <c r="F273" s="235">
        <v>1</v>
      </c>
      <c r="G273" s="236">
        <f>0.05+0.25+0.15</f>
        <v>0.44999999999999996</v>
      </c>
      <c r="H273" s="236"/>
      <c r="I273" s="236">
        <v>2.88</v>
      </c>
      <c r="J273" s="235">
        <v>1</v>
      </c>
      <c r="K273" s="237"/>
      <c r="L273" s="237">
        <f t="shared" si="40"/>
        <v>1.2959999999999998</v>
      </c>
      <c r="M273" s="111"/>
      <c r="N273" s="111"/>
      <c r="O273" s="111"/>
      <c r="P273" s="111"/>
    </row>
    <row r="274" spans="3:16" x14ac:dyDescent="0.3">
      <c r="C274" s="114"/>
      <c r="D274" s="233" t="s">
        <v>766</v>
      </c>
      <c r="E274" s="234" t="s">
        <v>0</v>
      </c>
      <c r="F274" s="235">
        <v>1</v>
      </c>
      <c r="G274" s="236">
        <v>1.3</v>
      </c>
      <c r="H274" s="236"/>
      <c r="I274" s="236">
        <v>2.88</v>
      </c>
      <c r="J274" s="235">
        <v>1</v>
      </c>
      <c r="K274" s="237"/>
      <c r="L274" s="237">
        <f t="shared" si="40"/>
        <v>3.7439999999999998</v>
      </c>
      <c r="M274" s="111"/>
      <c r="N274" s="111"/>
      <c r="O274" s="111"/>
      <c r="P274" s="111"/>
    </row>
    <row r="275" spans="3:16" x14ac:dyDescent="0.3">
      <c r="C275" s="114"/>
      <c r="D275" s="233" t="s">
        <v>767</v>
      </c>
      <c r="E275" s="234" t="s">
        <v>0</v>
      </c>
      <c r="F275" s="235">
        <v>1</v>
      </c>
      <c r="G275" s="236">
        <f>0.15+0.25+0.15</f>
        <v>0.55000000000000004</v>
      </c>
      <c r="H275" s="236"/>
      <c r="I275" s="236">
        <v>2.88</v>
      </c>
      <c r="J275" s="235">
        <v>1</v>
      </c>
      <c r="K275" s="237"/>
      <c r="L275" s="237">
        <f t="shared" si="40"/>
        <v>1.5840000000000001</v>
      </c>
      <c r="M275" s="111"/>
      <c r="N275" s="111"/>
      <c r="O275" s="111"/>
      <c r="P275" s="111"/>
    </row>
    <row r="276" spans="3:16" x14ac:dyDescent="0.3">
      <c r="C276" s="114"/>
      <c r="D276" s="233" t="s">
        <v>768</v>
      </c>
      <c r="E276" s="234" t="s">
        <v>0</v>
      </c>
      <c r="F276" s="235">
        <v>1</v>
      </c>
      <c r="G276" s="236">
        <f>0.15+0.1+0.05</f>
        <v>0.3</v>
      </c>
      <c r="H276" s="236"/>
      <c r="I276" s="236">
        <v>2.88</v>
      </c>
      <c r="J276" s="235">
        <v>1</v>
      </c>
      <c r="K276" s="237"/>
      <c r="L276" s="237">
        <f>IF(F276="","",PRODUCT(F276:J276))</f>
        <v>0.86399999999999999</v>
      </c>
      <c r="M276" s="111"/>
      <c r="N276" s="111"/>
      <c r="O276" s="111"/>
      <c r="P276" s="111"/>
    </row>
    <row r="277" spans="3:16" x14ac:dyDescent="0.3">
      <c r="C277" s="114"/>
      <c r="D277" s="233" t="s">
        <v>769</v>
      </c>
      <c r="E277" s="234" t="s">
        <v>0</v>
      </c>
      <c r="F277" s="235">
        <v>1</v>
      </c>
      <c r="G277" s="236">
        <v>1.3</v>
      </c>
      <c r="H277" s="236"/>
      <c r="I277" s="236">
        <v>2.88</v>
      </c>
      <c r="J277" s="235">
        <v>1</v>
      </c>
      <c r="K277" s="237"/>
      <c r="L277" s="237">
        <f t="shared" ref="L277:L280" si="41">IF(F277="","",PRODUCT(F277:J277))</f>
        <v>3.7439999999999998</v>
      </c>
      <c r="M277" s="111"/>
      <c r="N277" s="111"/>
      <c r="O277" s="111"/>
      <c r="P277" s="111"/>
    </row>
    <row r="278" spans="3:16" x14ac:dyDescent="0.3">
      <c r="C278" s="114"/>
      <c r="D278" s="233" t="s">
        <v>770</v>
      </c>
      <c r="E278" s="234" t="s">
        <v>0</v>
      </c>
      <c r="F278" s="235">
        <v>1</v>
      </c>
      <c r="G278" s="236">
        <f>0.25+0.15+0.15</f>
        <v>0.55000000000000004</v>
      </c>
      <c r="H278" s="236"/>
      <c r="I278" s="236">
        <v>2.88</v>
      </c>
      <c r="J278" s="235">
        <v>1</v>
      </c>
      <c r="K278" s="237"/>
      <c r="L278" s="237">
        <f t="shared" si="41"/>
        <v>1.5840000000000001</v>
      </c>
      <c r="M278" s="111"/>
      <c r="N278" s="111"/>
      <c r="O278" s="111"/>
      <c r="P278" s="111"/>
    </row>
    <row r="279" spans="3:16" x14ac:dyDescent="0.3">
      <c r="C279" s="114"/>
      <c r="D279" s="233" t="s">
        <v>771</v>
      </c>
      <c r="E279" s="234" t="s">
        <v>0</v>
      </c>
      <c r="F279" s="235">
        <v>1</v>
      </c>
      <c r="G279" s="236">
        <f>0.15</f>
        <v>0.15</v>
      </c>
      <c r="H279" s="236"/>
      <c r="I279" s="236">
        <v>3.88</v>
      </c>
      <c r="J279" s="235">
        <v>1</v>
      </c>
      <c r="K279" s="237"/>
      <c r="L279" s="237">
        <f t="shared" si="41"/>
        <v>0.58199999999999996</v>
      </c>
      <c r="M279" s="111"/>
      <c r="N279" s="111"/>
      <c r="O279" s="111"/>
      <c r="P279" s="111"/>
    </row>
    <row r="280" spans="3:16" x14ac:dyDescent="0.3">
      <c r="C280" s="114"/>
      <c r="D280" s="233" t="s">
        <v>772</v>
      </c>
      <c r="E280" s="234" t="s">
        <v>0</v>
      </c>
      <c r="F280" s="235">
        <v>1</v>
      </c>
      <c r="G280" s="236">
        <f>1.3+1.2</f>
        <v>2.5</v>
      </c>
      <c r="H280" s="236"/>
      <c r="I280" s="236">
        <v>2.88</v>
      </c>
      <c r="J280" s="235">
        <v>1</v>
      </c>
      <c r="K280" s="237"/>
      <c r="L280" s="237">
        <f t="shared" si="41"/>
        <v>7.1999999999999993</v>
      </c>
      <c r="M280" s="111"/>
      <c r="N280" s="111"/>
      <c r="O280" s="111"/>
      <c r="P280" s="111"/>
    </row>
    <row r="281" spans="3:16" x14ac:dyDescent="0.3">
      <c r="C281" s="114"/>
      <c r="D281" s="265"/>
      <c r="E281" s="116"/>
      <c r="F281" s="109"/>
      <c r="G281" s="110"/>
      <c r="H281" s="110"/>
      <c r="I281" s="110"/>
      <c r="J281" s="109"/>
      <c r="K281" s="111"/>
      <c r="L281" s="111"/>
      <c r="M281" s="111"/>
      <c r="N281" s="111"/>
      <c r="O281" s="111"/>
      <c r="P281" s="111"/>
    </row>
    <row r="282" spans="3:16" ht="20.399999999999999" x14ac:dyDescent="0.3">
      <c r="C282" s="99" t="s">
        <v>1183</v>
      </c>
      <c r="D282" s="226" t="s">
        <v>122</v>
      </c>
      <c r="E282" s="101" t="s">
        <v>0</v>
      </c>
      <c r="F282" s="1"/>
      <c r="G282" s="2"/>
      <c r="H282" s="2"/>
      <c r="I282" s="2"/>
      <c r="J282" s="3"/>
      <c r="K282" s="103"/>
      <c r="L282" s="103" t="str">
        <f>IF(F282="","",PRODUCT(F282:J282))</f>
        <v/>
      </c>
      <c r="M282" s="103"/>
      <c r="N282" s="103"/>
      <c r="O282" s="103"/>
      <c r="P282" s="103">
        <f>SUM(L282:L460)</f>
        <v>265.8300000000001</v>
      </c>
    </row>
    <row r="283" spans="3:16" x14ac:dyDescent="0.3">
      <c r="C283" s="106"/>
      <c r="D283" s="115" t="s">
        <v>127</v>
      </c>
      <c r="E283" s="121"/>
      <c r="F283" s="3"/>
      <c r="G283" s="122" t="s">
        <v>198</v>
      </c>
      <c r="H283" s="122"/>
      <c r="I283" s="122"/>
      <c r="J283" s="3"/>
      <c r="K283" s="113"/>
      <c r="L283" s="113"/>
      <c r="M283" s="113"/>
      <c r="N283" s="113"/>
      <c r="O283" s="113"/>
      <c r="P283" s="113"/>
    </row>
    <row r="284" spans="3:16" x14ac:dyDescent="0.3">
      <c r="C284" s="114"/>
      <c r="D284" s="233" t="s">
        <v>774</v>
      </c>
      <c r="E284" s="234" t="s">
        <v>0</v>
      </c>
      <c r="F284" s="235">
        <v>1</v>
      </c>
      <c r="G284" s="236">
        <f>0.1+0.4</f>
        <v>0.5</v>
      </c>
      <c r="H284" s="236"/>
      <c r="I284" s="236">
        <v>3.29</v>
      </c>
      <c r="J284" s="235">
        <v>1</v>
      </c>
      <c r="K284" s="237"/>
      <c r="L284" s="237">
        <f t="shared" ref="L284:L343" si="42">IF(F284="","",PRODUCT(F284:J284))</f>
        <v>1.645</v>
      </c>
      <c r="M284" s="111"/>
      <c r="N284" s="111"/>
      <c r="O284" s="111"/>
      <c r="P284" s="111"/>
    </row>
    <row r="285" spans="3:16" x14ac:dyDescent="0.3">
      <c r="C285" s="114"/>
      <c r="D285" s="233" t="s">
        <v>717</v>
      </c>
      <c r="E285" s="234" t="s">
        <v>0</v>
      </c>
      <c r="F285" s="235">
        <v>1</v>
      </c>
      <c r="G285" s="236">
        <f>0.1+0.2</f>
        <v>0.30000000000000004</v>
      </c>
      <c r="H285" s="236"/>
      <c r="I285" s="236">
        <v>2.2000000000000002</v>
      </c>
      <c r="J285" s="235">
        <v>1</v>
      </c>
      <c r="K285" s="237"/>
      <c r="L285" s="237">
        <f t="shared" si="42"/>
        <v>0.66000000000000014</v>
      </c>
      <c r="M285" s="111"/>
      <c r="N285" s="111"/>
      <c r="O285" s="111"/>
      <c r="P285" s="111"/>
    </row>
    <row r="286" spans="3:16" x14ac:dyDescent="0.3">
      <c r="C286" s="114"/>
      <c r="D286" s="233" t="s">
        <v>775</v>
      </c>
      <c r="E286" s="234" t="s">
        <v>0</v>
      </c>
      <c r="F286" s="235">
        <v>1</v>
      </c>
      <c r="G286" s="236">
        <f>0.25+0.2</f>
        <v>0.45</v>
      </c>
      <c r="H286" s="236"/>
      <c r="I286" s="236">
        <f>2.83+1</f>
        <v>3.83</v>
      </c>
      <c r="J286" s="235">
        <v>1</v>
      </c>
      <c r="K286" s="237"/>
      <c r="L286" s="237">
        <f t="shared" si="42"/>
        <v>1.7235</v>
      </c>
      <c r="M286" s="111"/>
      <c r="N286" s="111"/>
      <c r="O286" s="111"/>
      <c r="P286" s="111"/>
    </row>
    <row r="287" spans="3:16" x14ac:dyDescent="0.3">
      <c r="C287" s="114"/>
      <c r="D287" s="233" t="s">
        <v>776</v>
      </c>
      <c r="E287" s="234" t="s">
        <v>0</v>
      </c>
      <c r="F287" s="235">
        <v>1</v>
      </c>
      <c r="G287" s="236">
        <f>0.25+0.2+0.2</f>
        <v>0.65</v>
      </c>
      <c r="H287" s="236"/>
      <c r="I287" s="236">
        <v>2.63</v>
      </c>
      <c r="J287" s="235">
        <v>1</v>
      </c>
      <c r="K287" s="237"/>
      <c r="L287" s="237">
        <f t="shared" si="42"/>
        <v>1.7095</v>
      </c>
      <c r="M287" s="111"/>
      <c r="N287" s="111"/>
      <c r="O287" s="111"/>
      <c r="P287" s="111"/>
    </row>
    <row r="288" spans="3:16" x14ac:dyDescent="0.3">
      <c r="C288" s="114"/>
      <c r="D288" s="233" t="s">
        <v>777</v>
      </c>
      <c r="E288" s="234" t="s">
        <v>0</v>
      </c>
      <c r="F288" s="235">
        <v>1</v>
      </c>
      <c r="G288" s="236">
        <f>0.25+0.2</f>
        <v>0.45</v>
      </c>
      <c r="H288" s="236"/>
      <c r="I288" s="236">
        <v>2.63</v>
      </c>
      <c r="J288" s="235">
        <v>1</v>
      </c>
      <c r="K288" s="237"/>
      <c r="L288" s="237">
        <f t="shared" si="42"/>
        <v>1.1835</v>
      </c>
      <c r="M288" s="111"/>
      <c r="N288" s="111"/>
      <c r="O288" s="111"/>
      <c r="P288" s="111"/>
    </row>
    <row r="289" spans="3:16" x14ac:dyDescent="0.3">
      <c r="C289" s="114"/>
      <c r="D289" s="233" t="s">
        <v>778</v>
      </c>
      <c r="E289" s="234" t="s">
        <v>0</v>
      </c>
      <c r="F289" s="235">
        <v>1</v>
      </c>
      <c r="G289" s="236">
        <f>0.2+0.15</f>
        <v>0.35</v>
      </c>
      <c r="H289" s="236"/>
      <c r="I289" s="236">
        <v>5.45</v>
      </c>
      <c r="J289" s="235">
        <v>1</v>
      </c>
      <c r="K289" s="237"/>
      <c r="L289" s="237">
        <f t="shared" si="42"/>
        <v>1.9075</v>
      </c>
      <c r="M289" s="111"/>
      <c r="N289" s="111"/>
      <c r="O289" s="111"/>
      <c r="P289" s="111"/>
    </row>
    <row r="290" spans="3:16" x14ac:dyDescent="0.3">
      <c r="C290" s="114"/>
      <c r="D290" s="233" t="s">
        <v>779</v>
      </c>
      <c r="E290" s="234" t="s">
        <v>0</v>
      </c>
      <c r="F290" s="235">
        <v>1</v>
      </c>
      <c r="G290" s="236">
        <f>0.25+0.2+0.2</f>
        <v>0.65</v>
      </c>
      <c r="H290" s="236"/>
      <c r="I290" s="236">
        <v>4.25</v>
      </c>
      <c r="J290" s="235">
        <v>1</v>
      </c>
      <c r="K290" s="237"/>
      <c r="L290" s="237">
        <f t="shared" si="42"/>
        <v>2.7625000000000002</v>
      </c>
      <c r="M290" s="111"/>
      <c r="N290" s="111"/>
      <c r="O290" s="111"/>
      <c r="P290" s="111"/>
    </row>
    <row r="291" spans="3:16" x14ac:dyDescent="0.3">
      <c r="C291" s="114"/>
      <c r="D291" s="233" t="s">
        <v>780</v>
      </c>
      <c r="E291" s="234" t="s">
        <v>0</v>
      </c>
      <c r="F291" s="235">
        <v>1</v>
      </c>
      <c r="G291" s="236">
        <f>0.1+0.2</f>
        <v>0.30000000000000004</v>
      </c>
      <c r="H291" s="236"/>
      <c r="I291" s="236">
        <v>4.25</v>
      </c>
      <c r="J291" s="235">
        <v>1</v>
      </c>
      <c r="K291" s="237"/>
      <c r="L291" s="237">
        <f t="shared" si="42"/>
        <v>1.2750000000000001</v>
      </c>
      <c r="M291" s="111"/>
      <c r="N291" s="111"/>
      <c r="O291" s="111"/>
      <c r="P291" s="111"/>
    </row>
    <row r="292" spans="3:16" x14ac:dyDescent="0.3">
      <c r="C292" s="114"/>
      <c r="D292" s="233" t="s">
        <v>781</v>
      </c>
      <c r="E292" s="234" t="s">
        <v>0</v>
      </c>
      <c r="F292" s="235">
        <v>1</v>
      </c>
      <c r="G292" s="236">
        <f>0.1+0.2+0.2</f>
        <v>0.5</v>
      </c>
      <c r="H292" s="236"/>
      <c r="I292" s="236">
        <v>2.2000000000000002</v>
      </c>
      <c r="J292" s="235">
        <v>1</v>
      </c>
      <c r="K292" s="237"/>
      <c r="L292" s="237">
        <f t="shared" si="42"/>
        <v>1.1000000000000001</v>
      </c>
      <c r="M292" s="111"/>
      <c r="N292" s="111"/>
      <c r="O292" s="111"/>
      <c r="P292" s="111"/>
    </row>
    <row r="293" spans="3:16" x14ac:dyDescent="0.3">
      <c r="C293" s="114"/>
      <c r="D293" s="233" t="s">
        <v>782</v>
      </c>
      <c r="E293" s="234" t="s">
        <v>0</v>
      </c>
      <c r="F293" s="235">
        <v>1</v>
      </c>
      <c r="G293" s="236">
        <f>0.1+0.2+0.2</f>
        <v>0.5</v>
      </c>
      <c r="H293" s="236"/>
      <c r="I293" s="236">
        <v>5.63</v>
      </c>
      <c r="J293" s="235">
        <v>1</v>
      </c>
      <c r="K293" s="237"/>
      <c r="L293" s="237">
        <f t="shared" si="42"/>
        <v>2.8149999999999999</v>
      </c>
      <c r="M293" s="111"/>
      <c r="N293" s="111"/>
      <c r="O293" s="111"/>
      <c r="P293" s="111"/>
    </row>
    <row r="294" spans="3:16" x14ac:dyDescent="0.3">
      <c r="C294" s="114"/>
      <c r="D294" s="233" t="s">
        <v>783</v>
      </c>
      <c r="E294" s="234" t="s">
        <v>0</v>
      </c>
      <c r="F294" s="235">
        <v>1</v>
      </c>
      <c r="G294" s="236">
        <f>0.25+0.2+0.2</f>
        <v>0.65</v>
      </c>
      <c r="H294" s="236"/>
      <c r="I294" s="236">
        <v>1.2</v>
      </c>
      <c r="J294" s="235">
        <v>1</v>
      </c>
      <c r="K294" s="237"/>
      <c r="L294" s="237">
        <f t="shared" si="42"/>
        <v>0.78</v>
      </c>
      <c r="M294" s="111"/>
      <c r="N294" s="111"/>
      <c r="O294" s="111"/>
      <c r="P294" s="111"/>
    </row>
    <row r="295" spans="3:16" x14ac:dyDescent="0.3">
      <c r="C295" s="114"/>
      <c r="D295" s="233"/>
      <c r="E295" s="234" t="s">
        <v>0</v>
      </c>
      <c r="F295" s="235">
        <v>1</v>
      </c>
      <c r="G295" s="236">
        <f>0.1+0.2+0.2</f>
        <v>0.5</v>
      </c>
      <c r="H295" s="236"/>
      <c r="I295" s="236">
        <v>1</v>
      </c>
      <c r="J295" s="235">
        <v>1</v>
      </c>
      <c r="K295" s="237"/>
      <c r="L295" s="237">
        <f t="shared" si="42"/>
        <v>0.5</v>
      </c>
      <c r="M295" s="111"/>
      <c r="N295" s="111"/>
      <c r="O295" s="111"/>
      <c r="P295" s="111"/>
    </row>
    <row r="296" spans="3:16" x14ac:dyDescent="0.3">
      <c r="C296" s="114"/>
      <c r="D296" s="233" t="s">
        <v>784</v>
      </c>
      <c r="E296" s="234" t="s">
        <v>0</v>
      </c>
      <c r="F296" s="235">
        <v>1</v>
      </c>
      <c r="G296" s="236">
        <f>0.1+0.2+0.2</f>
        <v>0.5</v>
      </c>
      <c r="H296" s="236"/>
      <c r="I296" s="236">
        <v>5.69</v>
      </c>
      <c r="J296" s="235">
        <v>1</v>
      </c>
      <c r="K296" s="237"/>
      <c r="L296" s="237">
        <f t="shared" si="42"/>
        <v>2.8450000000000002</v>
      </c>
      <c r="M296" s="111"/>
      <c r="N296" s="111"/>
      <c r="O296" s="111"/>
      <c r="P296" s="111"/>
    </row>
    <row r="297" spans="3:16" x14ac:dyDescent="0.3">
      <c r="C297" s="114"/>
      <c r="D297" s="233" t="s">
        <v>785</v>
      </c>
      <c r="E297" s="234" t="s">
        <v>0</v>
      </c>
      <c r="F297" s="235">
        <v>1</v>
      </c>
      <c r="G297" s="236">
        <f>0.25+0.2</f>
        <v>0.45</v>
      </c>
      <c r="H297" s="236"/>
      <c r="I297" s="236">
        <v>4.3499999999999996</v>
      </c>
      <c r="J297" s="235">
        <v>1</v>
      </c>
      <c r="K297" s="237"/>
      <c r="L297" s="237">
        <f t="shared" si="42"/>
        <v>1.9574999999999998</v>
      </c>
      <c r="M297" s="111"/>
      <c r="N297" s="111"/>
      <c r="O297" s="111"/>
      <c r="P297" s="111"/>
    </row>
    <row r="298" spans="3:16" x14ac:dyDescent="0.3">
      <c r="C298" s="114"/>
      <c r="D298" s="233" t="s">
        <v>786</v>
      </c>
      <c r="E298" s="234" t="s">
        <v>0</v>
      </c>
      <c r="F298" s="235">
        <v>1</v>
      </c>
      <c r="G298" s="236">
        <f>0.25+0.2+0.2</f>
        <v>0.65</v>
      </c>
      <c r="H298" s="236"/>
      <c r="I298" s="236">
        <v>3.84</v>
      </c>
      <c r="J298" s="235">
        <v>1</v>
      </c>
      <c r="K298" s="237"/>
      <c r="L298" s="237">
        <f t="shared" si="42"/>
        <v>2.496</v>
      </c>
      <c r="M298" s="111"/>
      <c r="N298" s="111"/>
      <c r="O298" s="111"/>
      <c r="P298" s="111"/>
    </row>
    <row r="299" spans="3:16" x14ac:dyDescent="0.3">
      <c r="C299" s="114"/>
      <c r="D299" s="233"/>
      <c r="E299" s="234" t="s">
        <v>0</v>
      </c>
      <c r="F299" s="235">
        <v>1</v>
      </c>
      <c r="G299" s="236">
        <f>0.1+0.2+0.2</f>
        <v>0.5</v>
      </c>
      <c r="H299" s="236"/>
      <c r="I299" s="236">
        <v>0.51</v>
      </c>
      <c r="J299" s="235">
        <v>1</v>
      </c>
      <c r="K299" s="237"/>
      <c r="L299" s="237">
        <f t="shared" si="42"/>
        <v>0.255</v>
      </c>
      <c r="M299" s="111"/>
      <c r="N299" s="111"/>
      <c r="O299" s="111"/>
      <c r="P299" s="111"/>
    </row>
    <row r="300" spans="3:16" x14ac:dyDescent="0.3">
      <c r="C300" s="114"/>
      <c r="D300" s="233" t="s">
        <v>787</v>
      </c>
      <c r="E300" s="234" t="s">
        <v>0</v>
      </c>
      <c r="F300" s="235">
        <v>1</v>
      </c>
      <c r="G300" s="236">
        <f>0.1+0.2</f>
        <v>0.30000000000000004</v>
      </c>
      <c r="H300" s="236"/>
      <c r="I300" s="236">
        <v>2.2999999999999998</v>
      </c>
      <c r="J300" s="235">
        <v>1</v>
      </c>
      <c r="K300" s="237"/>
      <c r="L300" s="237">
        <f t="shared" si="42"/>
        <v>0.69000000000000006</v>
      </c>
      <c r="M300" s="111"/>
      <c r="N300" s="111"/>
      <c r="O300" s="111"/>
      <c r="P300" s="111"/>
    </row>
    <row r="301" spans="3:16" x14ac:dyDescent="0.3">
      <c r="C301" s="114"/>
      <c r="D301" s="233"/>
      <c r="E301" s="234" t="s">
        <v>0</v>
      </c>
      <c r="F301" s="235">
        <v>1</v>
      </c>
      <c r="G301" s="236">
        <f>0.1+0.2</f>
        <v>0.30000000000000004</v>
      </c>
      <c r="H301" s="236"/>
      <c r="I301" s="236">
        <v>0.5</v>
      </c>
      <c r="J301" s="235">
        <v>1</v>
      </c>
      <c r="K301" s="237"/>
      <c r="L301" s="237">
        <f t="shared" si="42"/>
        <v>0.15000000000000002</v>
      </c>
      <c r="M301" s="111"/>
      <c r="N301" s="111"/>
      <c r="O301" s="111"/>
      <c r="P301" s="111"/>
    </row>
    <row r="302" spans="3:16" x14ac:dyDescent="0.3">
      <c r="C302" s="114"/>
      <c r="D302" s="233"/>
      <c r="E302" s="234" t="s">
        <v>0</v>
      </c>
      <c r="F302" s="235">
        <v>1</v>
      </c>
      <c r="G302" s="236">
        <f>0.25+0.2+0.2</f>
        <v>0.65</v>
      </c>
      <c r="H302" s="236"/>
      <c r="I302" s="236">
        <v>1.55</v>
      </c>
      <c r="J302" s="235">
        <v>1</v>
      </c>
      <c r="K302" s="237"/>
      <c r="L302" s="237">
        <f t="shared" si="42"/>
        <v>1.0075000000000001</v>
      </c>
      <c r="M302" s="111"/>
      <c r="N302" s="111"/>
      <c r="O302" s="111"/>
      <c r="P302" s="111"/>
    </row>
    <row r="303" spans="3:16" x14ac:dyDescent="0.3">
      <c r="C303" s="114"/>
      <c r="D303" s="233" t="s">
        <v>788</v>
      </c>
      <c r="E303" s="234" t="s">
        <v>0</v>
      </c>
      <c r="F303" s="235">
        <v>1</v>
      </c>
      <c r="G303" s="236">
        <f>0.25+0.2+0.2</f>
        <v>0.65</v>
      </c>
      <c r="H303" s="236"/>
      <c r="I303" s="236">
        <v>2.2000000000000002</v>
      </c>
      <c r="J303" s="235">
        <v>1</v>
      </c>
      <c r="K303" s="237"/>
      <c r="L303" s="237">
        <f t="shared" si="42"/>
        <v>1.4300000000000002</v>
      </c>
      <c r="M303" s="111"/>
      <c r="N303" s="111"/>
      <c r="O303" s="111"/>
      <c r="P303" s="111"/>
    </row>
    <row r="304" spans="3:16" x14ac:dyDescent="0.3">
      <c r="C304" s="114"/>
      <c r="D304" s="233" t="s">
        <v>789</v>
      </c>
      <c r="E304" s="234" t="s">
        <v>0</v>
      </c>
      <c r="F304" s="235">
        <v>1</v>
      </c>
      <c r="G304" s="236">
        <f>0.25+0.2+0.2</f>
        <v>0.65</v>
      </c>
      <c r="H304" s="236"/>
      <c r="I304" s="236">
        <v>5.69</v>
      </c>
      <c r="J304" s="235">
        <v>1</v>
      </c>
      <c r="K304" s="237"/>
      <c r="L304" s="237">
        <f t="shared" si="42"/>
        <v>3.6985000000000006</v>
      </c>
      <c r="M304" s="111"/>
      <c r="N304" s="111"/>
      <c r="O304" s="111"/>
      <c r="P304" s="111"/>
    </row>
    <row r="305" spans="3:16" x14ac:dyDescent="0.3">
      <c r="C305" s="114"/>
      <c r="D305" s="233" t="s">
        <v>790</v>
      </c>
      <c r="E305" s="234" t="s">
        <v>0</v>
      </c>
      <c r="F305" s="235">
        <v>1</v>
      </c>
      <c r="G305" s="236">
        <f>0.25+0.2</f>
        <v>0.45</v>
      </c>
      <c r="H305" s="236"/>
      <c r="I305" s="236">
        <v>3.81</v>
      </c>
      <c r="J305" s="235">
        <v>1</v>
      </c>
      <c r="K305" s="237"/>
      <c r="L305" s="237">
        <f t="shared" si="42"/>
        <v>1.7145000000000001</v>
      </c>
      <c r="M305" s="111"/>
      <c r="N305" s="111"/>
      <c r="O305" s="111"/>
      <c r="P305" s="111"/>
    </row>
    <row r="306" spans="3:16" x14ac:dyDescent="0.3">
      <c r="C306" s="114"/>
      <c r="D306" s="233" t="s">
        <v>791</v>
      </c>
      <c r="E306" s="234" t="s">
        <v>0</v>
      </c>
      <c r="F306" s="235">
        <v>1</v>
      </c>
      <c r="G306" s="236">
        <f>0.25+0.2+0.2</f>
        <v>0.65</v>
      </c>
      <c r="H306" s="236"/>
      <c r="I306" s="236">
        <v>3.81</v>
      </c>
      <c r="J306" s="235">
        <v>1</v>
      </c>
      <c r="K306" s="237"/>
      <c r="L306" s="237">
        <f t="shared" si="42"/>
        <v>2.4765000000000001</v>
      </c>
      <c r="M306" s="111"/>
      <c r="N306" s="111"/>
      <c r="O306" s="111"/>
      <c r="P306" s="111"/>
    </row>
    <row r="307" spans="3:16" x14ac:dyDescent="0.3">
      <c r="C307" s="114"/>
      <c r="D307" s="233" t="s">
        <v>792</v>
      </c>
      <c r="E307" s="234" t="s">
        <v>0</v>
      </c>
      <c r="F307" s="235">
        <v>1</v>
      </c>
      <c r="G307" s="236">
        <f>0.1+0.2</f>
        <v>0.30000000000000004</v>
      </c>
      <c r="H307" s="236"/>
      <c r="I307" s="236">
        <v>2.2999999999999998</v>
      </c>
      <c r="J307" s="235">
        <v>1</v>
      </c>
      <c r="K307" s="237"/>
      <c r="L307" s="237">
        <f t="shared" si="42"/>
        <v>0.69000000000000006</v>
      </c>
      <c r="M307" s="111"/>
      <c r="N307" s="111"/>
      <c r="O307" s="111"/>
      <c r="P307" s="111"/>
    </row>
    <row r="308" spans="3:16" x14ac:dyDescent="0.3">
      <c r="C308" s="114"/>
      <c r="D308" s="233"/>
      <c r="E308" s="234" t="s">
        <v>0</v>
      </c>
      <c r="F308" s="235">
        <v>1</v>
      </c>
      <c r="G308" s="236">
        <f>0.1+0.2</f>
        <v>0.30000000000000004</v>
      </c>
      <c r="H308" s="236"/>
      <c r="I308" s="236">
        <v>1.5</v>
      </c>
      <c r="J308" s="235">
        <v>1</v>
      </c>
      <c r="K308" s="237"/>
      <c r="L308" s="237">
        <f t="shared" si="42"/>
        <v>0.45000000000000007</v>
      </c>
      <c r="M308" s="111"/>
      <c r="N308" s="111"/>
      <c r="O308" s="111"/>
      <c r="P308" s="111"/>
    </row>
    <row r="309" spans="3:16" x14ac:dyDescent="0.3">
      <c r="C309" s="114"/>
      <c r="D309" s="233" t="s">
        <v>793</v>
      </c>
      <c r="E309" s="234" t="s">
        <v>0</v>
      </c>
      <c r="F309" s="235">
        <v>1</v>
      </c>
      <c r="G309" s="236">
        <f>0.25+0.2+0.2</f>
        <v>0.65</v>
      </c>
      <c r="H309" s="236"/>
      <c r="I309" s="236">
        <v>2.1</v>
      </c>
      <c r="J309" s="235">
        <v>1</v>
      </c>
      <c r="K309" s="237"/>
      <c r="L309" s="237">
        <f t="shared" si="42"/>
        <v>1.3650000000000002</v>
      </c>
      <c r="M309" s="111"/>
      <c r="N309" s="111"/>
      <c r="O309" s="111"/>
      <c r="P309" s="111"/>
    </row>
    <row r="310" spans="3:16" x14ac:dyDescent="0.3">
      <c r="C310" s="114"/>
      <c r="D310" s="233" t="s">
        <v>794</v>
      </c>
      <c r="E310" s="234" t="s">
        <v>0</v>
      </c>
      <c r="F310" s="235">
        <v>1</v>
      </c>
      <c r="G310" s="236">
        <f>0.25+0.2+0.2</f>
        <v>0.65</v>
      </c>
      <c r="H310" s="236"/>
      <c r="I310" s="236">
        <v>5.69</v>
      </c>
      <c r="J310" s="235">
        <v>1</v>
      </c>
      <c r="K310" s="237"/>
      <c r="L310" s="237">
        <f t="shared" si="42"/>
        <v>3.6985000000000006</v>
      </c>
      <c r="M310" s="111"/>
      <c r="N310" s="111"/>
      <c r="O310" s="111"/>
      <c r="P310" s="111"/>
    </row>
    <row r="311" spans="3:16" x14ac:dyDescent="0.3">
      <c r="C311" s="114"/>
      <c r="D311" s="233" t="s">
        <v>795</v>
      </c>
      <c r="E311" s="234" t="s">
        <v>0</v>
      </c>
      <c r="F311" s="235">
        <v>1</v>
      </c>
      <c r="G311" s="236">
        <f>0.25+0.2</f>
        <v>0.45</v>
      </c>
      <c r="H311" s="236"/>
      <c r="I311" s="236">
        <v>4.34</v>
      </c>
      <c r="J311" s="235">
        <v>1</v>
      </c>
      <c r="K311" s="237"/>
      <c r="L311" s="237">
        <f t="shared" si="42"/>
        <v>1.9530000000000001</v>
      </c>
      <c r="M311" s="111"/>
      <c r="N311" s="111"/>
      <c r="O311" s="111"/>
      <c r="P311" s="111"/>
    </row>
    <row r="312" spans="3:16" x14ac:dyDescent="0.3">
      <c r="C312" s="114"/>
      <c r="D312" s="233" t="s">
        <v>796</v>
      </c>
      <c r="E312" s="234" t="s">
        <v>0</v>
      </c>
      <c r="F312" s="235">
        <v>1</v>
      </c>
      <c r="G312" s="236">
        <f>0.1+0.2+0.2</f>
        <v>0.5</v>
      </c>
      <c r="H312" s="236"/>
      <c r="I312" s="236">
        <v>1.47</v>
      </c>
      <c r="J312" s="235">
        <v>1</v>
      </c>
      <c r="K312" s="237"/>
      <c r="L312" s="237">
        <f t="shared" si="42"/>
        <v>0.73499999999999999</v>
      </c>
      <c r="M312" s="111"/>
      <c r="N312" s="111"/>
      <c r="O312" s="111"/>
      <c r="P312" s="111"/>
    </row>
    <row r="313" spans="3:16" x14ac:dyDescent="0.3">
      <c r="C313" s="114"/>
      <c r="D313" s="233"/>
      <c r="E313" s="234" t="s">
        <v>0</v>
      </c>
      <c r="F313" s="235">
        <v>1</v>
      </c>
      <c r="G313" s="236">
        <f>0.25+0.2+0.2</f>
        <v>0.65</v>
      </c>
      <c r="H313" s="236"/>
      <c r="I313" s="236">
        <v>2.87</v>
      </c>
      <c r="J313" s="235">
        <v>1</v>
      </c>
      <c r="K313" s="237"/>
      <c r="L313" s="237">
        <f t="shared" si="42"/>
        <v>1.8655000000000002</v>
      </c>
      <c r="M313" s="111"/>
      <c r="N313" s="111"/>
      <c r="O313" s="111"/>
      <c r="P313" s="111"/>
    </row>
    <row r="314" spans="3:16" x14ac:dyDescent="0.3">
      <c r="C314" s="114"/>
      <c r="D314" s="233" t="s">
        <v>797</v>
      </c>
      <c r="E314" s="234" t="s">
        <v>0</v>
      </c>
      <c r="F314" s="235">
        <v>1</v>
      </c>
      <c r="G314" s="236">
        <f>0.1+0.2</f>
        <v>0.30000000000000004</v>
      </c>
      <c r="H314" s="236"/>
      <c r="I314" s="236">
        <v>1.47</v>
      </c>
      <c r="J314" s="235">
        <v>1</v>
      </c>
      <c r="K314" s="237"/>
      <c r="L314" s="237">
        <f t="shared" si="42"/>
        <v>0.44100000000000006</v>
      </c>
      <c r="M314" s="111"/>
      <c r="N314" s="111"/>
      <c r="O314" s="111"/>
      <c r="P314" s="111"/>
    </row>
    <row r="315" spans="3:16" x14ac:dyDescent="0.3">
      <c r="C315" s="114"/>
      <c r="D315" s="280"/>
      <c r="E315" s="234" t="s">
        <v>0</v>
      </c>
      <c r="F315" s="235">
        <v>1</v>
      </c>
      <c r="G315" s="236">
        <f>0.1+0.2</f>
        <v>0.30000000000000004</v>
      </c>
      <c r="H315" s="236"/>
      <c r="I315" s="236">
        <v>1.33</v>
      </c>
      <c r="J315" s="235">
        <v>1</v>
      </c>
      <c r="K315" s="237"/>
      <c r="L315" s="237">
        <f t="shared" si="42"/>
        <v>0.39900000000000008</v>
      </c>
      <c r="M315" s="111"/>
      <c r="N315" s="111"/>
      <c r="O315" s="111"/>
      <c r="P315" s="111"/>
    </row>
    <row r="316" spans="3:16" x14ac:dyDescent="0.3">
      <c r="C316" s="114"/>
      <c r="D316" s="280"/>
      <c r="E316" s="234" t="s">
        <v>0</v>
      </c>
      <c r="F316" s="235">
        <v>1</v>
      </c>
      <c r="G316" s="236">
        <f>0.25+0.2</f>
        <v>0.45</v>
      </c>
      <c r="H316" s="236"/>
      <c r="I316" s="236">
        <v>1.56</v>
      </c>
      <c r="J316" s="235">
        <v>1</v>
      </c>
      <c r="K316" s="237"/>
      <c r="L316" s="237">
        <f t="shared" si="42"/>
        <v>0.70200000000000007</v>
      </c>
      <c r="M316" s="111"/>
      <c r="N316" s="111"/>
      <c r="O316" s="111"/>
      <c r="P316" s="111"/>
    </row>
    <row r="317" spans="3:16" x14ac:dyDescent="0.3">
      <c r="C317" s="114"/>
      <c r="D317" s="233" t="s">
        <v>798</v>
      </c>
      <c r="E317" s="234" t="s">
        <v>0</v>
      </c>
      <c r="F317" s="235">
        <v>1</v>
      </c>
      <c r="G317" s="236">
        <f>0.25+0.2+0.2</f>
        <v>0.65</v>
      </c>
      <c r="H317" s="236"/>
      <c r="I317" s="236">
        <v>2.1</v>
      </c>
      <c r="J317" s="235">
        <v>1</v>
      </c>
      <c r="K317" s="237"/>
      <c r="L317" s="237">
        <f t="shared" si="42"/>
        <v>1.3650000000000002</v>
      </c>
      <c r="M317" s="111"/>
      <c r="N317" s="111"/>
      <c r="O317" s="111"/>
      <c r="P317" s="111"/>
    </row>
    <row r="318" spans="3:16" x14ac:dyDescent="0.3">
      <c r="C318" s="114"/>
      <c r="D318" s="233" t="s">
        <v>799</v>
      </c>
      <c r="E318" s="234" t="s">
        <v>0</v>
      </c>
      <c r="F318" s="235">
        <v>1</v>
      </c>
      <c r="G318" s="236">
        <f>0.25+0.2+0.2</f>
        <v>0.65</v>
      </c>
      <c r="H318" s="236"/>
      <c r="I318" s="236">
        <v>1.2</v>
      </c>
      <c r="J318" s="235">
        <v>1</v>
      </c>
      <c r="K318" s="237"/>
      <c r="L318" s="237">
        <f t="shared" si="42"/>
        <v>0.78</v>
      </c>
      <c r="M318" s="111"/>
      <c r="N318" s="111"/>
      <c r="O318" s="111"/>
      <c r="P318" s="111"/>
    </row>
    <row r="319" spans="3:16" x14ac:dyDescent="0.3">
      <c r="C319" s="114"/>
      <c r="D319" s="233"/>
      <c r="E319" s="234" t="s">
        <v>0</v>
      </c>
      <c r="F319" s="235">
        <v>1</v>
      </c>
      <c r="G319" s="236">
        <f>0.1+0.2+0.2</f>
        <v>0.5</v>
      </c>
      <c r="H319" s="236"/>
      <c r="I319" s="236">
        <v>4.49</v>
      </c>
      <c r="J319" s="235">
        <v>1</v>
      </c>
      <c r="K319" s="237"/>
      <c r="L319" s="237">
        <f t="shared" si="42"/>
        <v>2.2450000000000001</v>
      </c>
      <c r="M319" s="111"/>
      <c r="N319" s="111"/>
      <c r="O319" s="111"/>
      <c r="P319" s="111"/>
    </row>
    <row r="320" spans="3:16" x14ac:dyDescent="0.3">
      <c r="C320" s="114"/>
      <c r="D320" s="233" t="s">
        <v>800</v>
      </c>
      <c r="E320" s="234" t="s">
        <v>0</v>
      </c>
      <c r="F320" s="235">
        <v>1</v>
      </c>
      <c r="G320" s="236">
        <f>0.25+0.2</f>
        <v>0.45</v>
      </c>
      <c r="H320" s="236"/>
      <c r="I320" s="236">
        <v>3.78</v>
      </c>
      <c r="J320" s="235">
        <v>1</v>
      </c>
      <c r="K320" s="237"/>
      <c r="L320" s="237">
        <f t="shared" si="42"/>
        <v>1.7009999999999998</v>
      </c>
      <c r="M320" s="111"/>
      <c r="N320" s="111"/>
      <c r="O320" s="111"/>
      <c r="P320" s="111"/>
    </row>
    <row r="321" spans="3:16" x14ac:dyDescent="0.3">
      <c r="C321" s="114"/>
      <c r="D321" s="233" t="s">
        <v>801</v>
      </c>
      <c r="E321" s="234" t="s">
        <v>0</v>
      </c>
      <c r="F321" s="235">
        <v>1</v>
      </c>
      <c r="G321" s="236">
        <f>0.25+0.2+0.2</f>
        <v>0.65</v>
      </c>
      <c r="H321" s="236"/>
      <c r="I321" s="236">
        <f>1.5+2.28</f>
        <v>3.78</v>
      </c>
      <c r="J321" s="235">
        <v>1</v>
      </c>
      <c r="K321" s="237"/>
      <c r="L321" s="237">
        <f t="shared" si="42"/>
        <v>2.4569999999999999</v>
      </c>
      <c r="M321" s="111"/>
      <c r="N321" s="111"/>
      <c r="O321" s="111"/>
      <c r="P321" s="111"/>
    </row>
    <row r="322" spans="3:16" x14ac:dyDescent="0.3">
      <c r="C322" s="114"/>
      <c r="D322" s="233" t="s">
        <v>802</v>
      </c>
      <c r="E322" s="234" t="s">
        <v>0</v>
      </c>
      <c r="F322" s="235">
        <v>1</v>
      </c>
      <c r="G322" s="236">
        <f>0.1+0.2</f>
        <v>0.30000000000000004</v>
      </c>
      <c r="H322" s="236"/>
      <c r="I322" s="236">
        <v>2.2799999999999998</v>
      </c>
      <c r="J322" s="235">
        <v>1</v>
      </c>
      <c r="K322" s="237"/>
      <c r="L322" s="237">
        <f t="shared" si="42"/>
        <v>0.68400000000000005</v>
      </c>
      <c r="M322" s="111"/>
      <c r="N322" s="111"/>
      <c r="O322" s="111"/>
      <c r="P322" s="111"/>
    </row>
    <row r="323" spans="3:16" x14ac:dyDescent="0.3">
      <c r="C323" s="114"/>
      <c r="D323" s="280"/>
      <c r="E323" s="234" t="s">
        <v>0</v>
      </c>
      <c r="F323" s="235">
        <v>1</v>
      </c>
      <c r="G323" s="236">
        <f>0.25+0.2</f>
        <v>0.45</v>
      </c>
      <c r="H323" s="236"/>
      <c r="I323" s="236">
        <v>1.5</v>
      </c>
      <c r="J323" s="235">
        <v>1</v>
      </c>
      <c r="K323" s="237"/>
      <c r="L323" s="237">
        <f t="shared" si="42"/>
        <v>0.67500000000000004</v>
      </c>
      <c r="M323" s="111"/>
      <c r="N323" s="111"/>
      <c r="O323" s="111"/>
      <c r="P323" s="111"/>
    </row>
    <row r="324" spans="3:16" x14ac:dyDescent="0.3">
      <c r="C324" s="114"/>
      <c r="D324" s="233" t="s">
        <v>803</v>
      </c>
      <c r="E324" s="234" t="s">
        <v>0</v>
      </c>
      <c r="F324" s="235">
        <v>1</v>
      </c>
      <c r="G324" s="236">
        <f>0.25+0.2+0.2</f>
        <v>0.65</v>
      </c>
      <c r="H324" s="236"/>
      <c r="I324" s="236">
        <v>2.2000000000000002</v>
      </c>
      <c r="J324" s="235">
        <v>1</v>
      </c>
      <c r="K324" s="237"/>
      <c r="L324" s="237">
        <f t="shared" si="42"/>
        <v>1.4300000000000002</v>
      </c>
      <c r="M324" s="111"/>
      <c r="N324" s="111"/>
      <c r="O324" s="111"/>
      <c r="P324" s="111"/>
    </row>
    <row r="325" spans="3:16" x14ac:dyDescent="0.3">
      <c r="C325" s="114"/>
      <c r="D325" s="233" t="s">
        <v>804</v>
      </c>
      <c r="E325" s="234" t="s">
        <v>0</v>
      </c>
      <c r="F325" s="235">
        <v>1</v>
      </c>
      <c r="G325" s="236">
        <f>0.25+0.2+0.2</f>
        <v>0.65</v>
      </c>
      <c r="H325" s="236"/>
      <c r="I325" s="236">
        <v>5.69</v>
      </c>
      <c r="J325" s="235">
        <v>1</v>
      </c>
      <c r="K325" s="237"/>
      <c r="L325" s="237">
        <f t="shared" si="42"/>
        <v>3.6985000000000006</v>
      </c>
      <c r="M325" s="111"/>
      <c r="N325" s="111"/>
      <c r="O325" s="111"/>
      <c r="P325" s="111"/>
    </row>
    <row r="326" spans="3:16" x14ac:dyDescent="0.3">
      <c r="C326" s="114"/>
      <c r="D326" s="233" t="s">
        <v>805</v>
      </c>
      <c r="E326" s="234" t="s">
        <v>0</v>
      </c>
      <c r="F326" s="235">
        <v>1</v>
      </c>
      <c r="G326" s="236">
        <f>0.25+0.2</f>
        <v>0.45</v>
      </c>
      <c r="H326" s="236"/>
      <c r="I326" s="236">
        <v>4.3600000000000003</v>
      </c>
      <c r="J326" s="235">
        <v>1</v>
      </c>
      <c r="K326" s="237"/>
      <c r="L326" s="237">
        <f t="shared" si="42"/>
        <v>1.9620000000000002</v>
      </c>
      <c r="M326" s="111"/>
      <c r="N326" s="111"/>
      <c r="O326" s="111"/>
      <c r="P326" s="111"/>
    </row>
    <row r="327" spans="3:16" x14ac:dyDescent="0.3">
      <c r="C327" s="114"/>
      <c r="D327" s="233" t="s">
        <v>806</v>
      </c>
      <c r="E327" s="234" t="s">
        <v>0</v>
      </c>
      <c r="F327" s="235">
        <v>1</v>
      </c>
      <c r="G327" s="236">
        <f>0.25+0.2+0.2</f>
        <v>0.65</v>
      </c>
      <c r="H327" s="236"/>
      <c r="I327" s="236">
        <f>1.63+1.53</f>
        <v>3.16</v>
      </c>
      <c r="J327" s="235">
        <v>1</v>
      </c>
      <c r="K327" s="237"/>
      <c r="L327" s="237">
        <f t="shared" si="42"/>
        <v>2.0540000000000003</v>
      </c>
      <c r="M327" s="111"/>
      <c r="N327" s="111"/>
      <c r="O327" s="111"/>
      <c r="P327" s="111"/>
    </row>
    <row r="328" spans="3:16" x14ac:dyDescent="0.3">
      <c r="C328" s="114"/>
      <c r="D328" s="233" t="s">
        <v>807</v>
      </c>
      <c r="E328" s="234" t="s">
        <v>0</v>
      </c>
      <c r="F328" s="235">
        <v>1</v>
      </c>
      <c r="G328" s="236">
        <f>0.1+0.2</f>
        <v>0.30000000000000004</v>
      </c>
      <c r="H328" s="236"/>
      <c r="I328" s="236">
        <v>1.63</v>
      </c>
      <c r="J328" s="235">
        <v>1</v>
      </c>
      <c r="K328" s="237"/>
      <c r="L328" s="237">
        <f t="shared" si="42"/>
        <v>0.48900000000000005</v>
      </c>
      <c r="M328" s="111"/>
      <c r="N328" s="111"/>
      <c r="O328" s="111"/>
      <c r="P328" s="111"/>
    </row>
    <row r="329" spans="3:16" x14ac:dyDescent="0.3">
      <c r="C329" s="114"/>
      <c r="D329" s="280"/>
      <c r="E329" s="234" t="s">
        <v>0</v>
      </c>
      <c r="F329" s="235">
        <v>1</v>
      </c>
      <c r="G329" s="236">
        <f>0.25+0.2</f>
        <v>0.45</v>
      </c>
      <c r="H329" s="236"/>
      <c r="I329" s="236">
        <v>1.53</v>
      </c>
      <c r="J329" s="235">
        <v>1</v>
      </c>
      <c r="K329" s="237"/>
      <c r="L329" s="237">
        <f t="shared" si="42"/>
        <v>0.6885</v>
      </c>
      <c r="M329" s="111"/>
      <c r="N329" s="111"/>
      <c r="O329" s="111"/>
      <c r="P329" s="111"/>
    </row>
    <row r="330" spans="3:16" x14ac:dyDescent="0.3">
      <c r="C330" s="114"/>
      <c r="D330" s="233" t="s">
        <v>808</v>
      </c>
      <c r="E330" s="234" t="s">
        <v>0</v>
      </c>
      <c r="F330" s="235">
        <v>1</v>
      </c>
      <c r="G330" s="236">
        <f>0.25+0.2+0.2</f>
        <v>0.65</v>
      </c>
      <c r="H330" s="236"/>
      <c r="I330" s="236">
        <v>2.2000000000000002</v>
      </c>
      <c r="J330" s="235">
        <v>1</v>
      </c>
      <c r="K330" s="237"/>
      <c r="L330" s="237">
        <f t="shared" si="42"/>
        <v>1.4300000000000002</v>
      </c>
      <c r="M330" s="111"/>
      <c r="N330" s="111"/>
      <c r="O330" s="111"/>
      <c r="P330" s="111"/>
    </row>
    <row r="331" spans="3:16" x14ac:dyDescent="0.3">
      <c r="C331" s="114"/>
      <c r="D331" s="233" t="s">
        <v>809</v>
      </c>
      <c r="E331" s="234" t="s">
        <v>0</v>
      </c>
      <c r="F331" s="235">
        <v>1</v>
      </c>
      <c r="G331" s="236">
        <f>0.25+0.2+0.2</f>
        <v>0.65</v>
      </c>
      <c r="H331" s="236"/>
      <c r="I331" s="236">
        <v>5.69</v>
      </c>
      <c r="J331" s="235">
        <v>1</v>
      </c>
      <c r="K331" s="237"/>
      <c r="L331" s="237">
        <f t="shared" si="42"/>
        <v>3.6985000000000006</v>
      </c>
      <c r="M331" s="111"/>
      <c r="N331" s="111"/>
      <c r="O331" s="111"/>
      <c r="P331" s="111"/>
    </row>
    <row r="332" spans="3:16" x14ac:dyDescent="0.3">
      <c r="C332" s="114"/>
      <c r="D332" s="233" t="s">
        <v>805</v>
      </c>
      <c r="E332" s="234" t="s">
        <v>0</v>
      </c>
      <c r="F332" s="235">
        <v>1</v>
      </c>
      <c r="G332" s="236">
        <f>0.25+0.2</f>
        <v>0.45</v>
      </c>
      <c r="H332" s="236"/>
      <c r="I332" s="236">
        <v>3.81</v>
      </c>
      <c r="J332" s="235">
        <v>1</v>
      </c>
      <c r="K332" s="237"/>
      <c r="L332" s="237">
        <f t="shared" si="42"/>
        <v>1.7145000000000001</v>
      </c>
      <c r="M332" s="111"/>
      <c r="N332" s="111"/>
      <c r="O332" s="111"/>
      <c r="P332" s="111"/>
    </row>
    <row r="333" spans="3:16" x14ac:dyDescent="0.3">
      <c r="C333" s="114"/>
      <c r="D333" s="233" t="s">
        <v>806</v>
      </c>
      <c r="E333" s="234" t="s">
        <v>0</v>
      </c>
      <c r="F333" s="235">
        <v>1</v>
      </c>
      <c r="G333" s="236">
        <f>0.25+0.2+0.2</f>
        <v>0.65</v>
      </c>
      <c r="H333" s="236"/>
      <c r="I333" s="236">
        <f>2.3+1.5</f>
        <v>3.8</v>
      </c>
      <c r="J333" s="235">
        <v>1</v>
      </c>
      <c r="K333" s="237"/>
      <c r="L333" s="237">
        <f t="shared" si="42"/>
        <v>2.4699999999999998</v>
      </c>
      <c r="M333" s="111"/>
      <c r="N333" s="111"/>
      <c r="O333" s="111"/>
      <c r="P333" s="111"/>
    </row>
    <row r="334" spans="3:16" x14ac:dyDescent="0.3">
      <c r="C334" s="114"/>
      <c r="D334" s="233" t="s">
        <v>807</v>
      </c>
      <c r="E334" s="234" t="s">
        <v>0</v>
      </c>
      <c r="F334" s="235">
        <v>1</v>
      </c>
      <c r="G334" s="236">
        <f>0.1+0.2</f>
        <v>0.30000000000000004</v>
      </c>
      <c r="H334" s="236"/>
      <c r="I334" s="236">
        <v>2.2999999999999998</v>
      </c>
      <c r="J334" s="235">
        <v>1</v>
      </c>
      <c r="K334" s="237"/>
      <c r="L334" s="237">
        <f t="shared" si="42"/>
        <v>0.69000000000000006</v>
      </c>
      <c r="M334" s="111"/>
      <c r="N334" s="111"/>
      <c r="O334" s="111"/>
      <c r="P334" s="111"/>
    </row>
    <row r="335" spans="3:16" x14ac:dyDescent="0.3">
      <c r="C335" s="114"/>
      <c r="D335" s="280"/>
      <c r="E335" s="234" t="s">
        <v>0</v>
      </c>
      <c r="F335" s="235">
        <v>1</v>
      </c>
      <c r="G335" s="236">
        <f>0.25+0.2</f>
        <v>0.45</v>
      </c>
      <c r="H335" s="236"/>
      <c r="I335" s="236">
        <v>1.5</v>
      </c>
      <c r="J335" s="235">
        <v>1</v>
      </c>
      <c r="K335" s="237"/>
      <c r="L335" s="237">
        <f t="shared" si="42"/>
        <v>0.67500000000000004</v>
      </c>
      <c r="M335" s="111"/>
      <c r="N335" s="111"/>
      <c r="O335" s="111"/>
      <c r="P335" s="111"/>
    </row>
    <row r="336" spans="3:16" x14ac:dyDescent="0.3">
      <c r="C336" s="114"/>
      <c r="D336" s="233" t="s">
        <v>810</v>
      </c>
      <c r="E336" s="234" t="s">
        <v>0</v>
      </c>
      <c r="F336" s="235">
        <v>1</v>
      </c>
      <c r="G336" s="236">
        <f>0.25+0.2+0.2</f>
        <v>0.65</v>
      </c>
      <c r="H336" s="236"/>
      <c r="I336" s="236">
        <v>2.2000000000000002</v>
      </c>
      <c r="J336" s="235">
        <v>1</v>
      </c>
      <c r="K336" s="237"/>
      <c r="L336" s="237">
        <f t="shared" si="42"/>
        <v>1.4300000000000002</v>
      </c>
      <c r="M336" s="111"/>
      <c r="N336" s="111"/>
      <c r="O336" s="111"/>
      <c r="P336" s="111"/>
    </row>
    <row r="337" spans="3:16" x14ac:dyDescent="0.3">
      <c r="C337" s="114"/>
      <c r="D337" s="233" t="s">
        <v>811</v>
      </c>
      <c r="E337" s="234" t="s">
        <v>0</v>
      </c>
      <c r="F337" s="235">
        <v>1</v>
      </c>
      <c r="G337" s="236">
        <f>0.1+0.2+0.2</f>
        <v>0.5</v>
      </c>
      <c r="H337" s="236"/>
      <c r="I337" s="236">
        <v>5.69</v>
      </c>
      <c r="J337" s="235">
        <v>1</v>
      </c>
      <c r="K337" s="237"/>
      <c r="L337" s="237">
        <f t="shared" si="42"/>
        <v>2.8450000000000002</v>
      </c>
      <c r="M337" s="111"/>
      <c r="N337" s="111"/>
      <c r="O337" s="111"/>
      <c r="P337" s="111"/>
    </row>
    <row r="338" spans="3:16" x14ac:dyDescent="0.3">
      <c r="C338" s="114"/>
      <c r="D338" s="233" t="s">
        <v>812</v>
      </c>
      <c r="E338" s="234" t="s">
        <v>0</v>
      </c>
      <c r="F338" s="235">
        <v>1</v>
      </c>
      <c r="G338" s="236">
        <f>0.25+0.2</f>
        <v>0.45</v>
      </c>
      <c r="H338" s="236"/>
      <c r="I338" s="236">
        <v>3.7</v>
      </c>
      <c r="J338" s="235">
        <v>1</v>
      </c>
      <c r="K338" s="237"/>
      <c r="L338" s="237">
        <f t="shared" si="42"/>
        <v>1.665</v>
      </c>
      <c r="M338" s="111"/>
      <c r="N338" s="111"/>
      <c r="O338" s="111"/>
      <c r="P338" s="111"/>
    </row>
    <row r="339" spans="3:16" x14ac:dyDescent="0.3">
      <c r="C339" s="114"/>
      <c r="D339" s="233" t="s">
        <v>813</v>
      </c>
      <c r="E339" s="234" t="s">
        <v>0</v>
      </c>
      <c r="F339" s="235">
        <v>1</v>
      </c>
      <c r="G339" s="236">
        <f>0.25+0.2+0.2</f>
        <v>0.65</v>
      </c>
      <c r="H339" s="236"/>
      <c r="I339" s="236">
        <v>2.5</v>
      </c>
      <c r="J339" s="235">
        <v>1</v>
      </c>
      <c r="K339" s="237"/>
      <c r="L339" s="237">
        <f t="shared" si="42"/>
        <v>1.625</v>
      </c>
      <c r="M339" s="111"/>
      <c r="N339" s="111"/>
      <c r="O339" s="111"/>
      <c r="P339" s="111"/>
    </row>
    <row r="340" spans="3:16" x14ac:dyDescent="0.3">
      <c r="C340" s="114"/>
      <c r="D340" s="233" t="s">
        <v>814</v>
      </c>
      <c r="E340" s="234" t="s">
        <v>0</v>
      </c>
      <c r="F340" s="235">
        <v>1</v>
      </c>
      <c r="G340" s="236">
        <f>0.1+0.2</f>
        <v>0.30000000000000004</v>
      </c>
      <c r="H340" s="236"/>
      <c r="I340" s="236">
        <v>2.5</v>
      </c>
      <c r="J340" s="235">
        <v>1</v>
      </c>
      <c r="K340" s="237"/>
      <c r="L340" s="237">
        <f t="shared" si="42"/>
        <v>0.75000000000000011</v>
      </c>
      <c r="M340" s="111"/>
      <c r="N340" s="111"/>
      <c r="O340" s="111"/>
      <c r="P340" s="111"/>
    </row>
    <row r="341" spans="3:16" x14ac:dyDescent="0.3">
      <c r="C341" s="114"/>
      <c r="D341" s="233" t="s">
        <v>815</v>
      </c>
      <c r="E341" s="234" t="s">
        <v>0</v>
      </c>
      <c r="F341" s="235">
        <v>1</v>
      </c>
      <c r="G341" s="236">
        <f>0.25+0.2</f>
        <v>0.45</v>
      </c>
      <c r="H341" s="236"/>
      <c r="I341" s="236">
        <v>2.2000000000000002</v>
      </c>
      <c r="J341" s="235">
        <v>1</v>
      </c>
      <c r="K341" s="237"/>
      <c r="L341" s="237">
        <f t="shared" si="42"/>
        <v>0.9900000000000001</v>
      </c>
      <c r="M341" s="111"/>
      <c r="N341" s="111"/>
      <c r="O341" s="111"/>
      <c r="P341" s="111"/>
    </row>
    <row r="342" spans="3:16" x14ac:dyDescent="0.3">
      <c r="C342" s="114"/>
      <c r="D342" s="233" t="s">
        <v>816</v>
      </c>
      <c r="E342" s="234" t="s">
        <v>0</v>
      </c>
      <c r="F342" s="235">
        <v>1</v>
      </c>
      <c r="G342" s="236">
        <f>0.2</f>
        <v>0.2</v>
      </c>
      <c r="H342" s="236"/>
      <c r="I342" s="236">
        <v>1.66</v>
      </c>
      <c r="J342" s="235">
        <v>1</v>
      </c>
      <c r="K342" s="237"/>
      <c r="L342" s="237">
        <f t="shared" si="42"/>
        <v>0.33200000000000002</v>
      </c>
      <c r="M342" s="111"/>
      <c r="N342" s="111"/>
      <c r="O342" s="111"/>
      <c r="P342" s="111"/>
    </row>
    <row r="343" spans="3:16" x14ac:dyDescent="0.3">
      <c r="C343" s="114"/>
      <c r="D343" s="233" t="s">
        <v>817</v>
      </c>
      <c r="E343" s="234" t="s">
        <v>0</v>
      </c>
      <c r="F343" s="235">
        <v>1</v>
      </c>
      <c r="G343" s="236">
        <v>0.2</v>
      </c>
      <c r="H343" s="236"/>
      <c r="I343" s="236">
        <v>1.63</v>
      </c>
      <c r="J343" s="235">
        <v>1</v>
      </c>
      <c r="K343" s="237"/>
      <c r="L343" s="237">
        <f t="shared" si="42"/>
        <v>0.32600000000000001</v>
      </c>
      <c r="M343" s="111"/>
      <c r="N343" s="111"/>
      <c r="O343" s="111"/>
      <c r="P343" s="111"/>
    </row>
    <row r="344" spans="3:16" x14ac:dyDescent="0.3">
      <c r="C344" s="114"/>
      <c r="D344" s="115" t="s">
        <v>68</v>
      </c>
      <c r="E344" s="121"/>
      <c r="F344" s="3"/>
      <c r="G344" s="122" t="s">
        <v>198</v>
      </c>
      <c r="H344" s="122"/>
      <c r="I344" s="122"/>
      <c r="J344" s="3"/>
      <c r="K344" s="113"/>
      <c r="L344" s="113"/>
      <c r="M344" s="111"/>
      <c r="N344" s="111"/>
      <c r="O344" s="111"/>
      <c r="P344" s="111"/>
    </row>
    <row r="345" spans="3:16" x14ac:dyDescent="0.3">
      <c r="C345" s="114"/>
      <c r="D345" s="233" t="s">
        <v>774</v>
      </c>
      <c r="E345" s="234" t="s">
        <v>0</v>
      </c>
      <c r="F345" s="235">
        <v>1</v>
      </c>
      <c r="G345" s="236">
        <f>0.1+0.4</f>
        <v>0.5</v>
      </c>
      <c r="H345" s="236"/>
      <c r="I345" s="236">
        <v>3.29</v>
      </c>
      <c r="J345" s="235">
        <v>1</v>
      </c>
      <c r="K345" s="237"/>
      <c r="L345" s="237">
        <f t="shared" ref="L345:L404" si="43">IF(F345="","",PRODUCT(F345:J345))</f>
        <v>1.645</v>
      </c>
      <c r="M345" s="111"/>
      <c r="N345" s="111"/>
      <c r="O345" s="111"/>
      <c r="P345" s="111"/>
    </row>
    <row r="346" spans="3:16" x14ac:dyDescent="0.3">
      <c r="C346" s="114"/>
      <c r="D346" s="233" t="s">
        <v>717</v>
      </c>
      <c r="E346" s="234" t="s">
        <v>0</v>
      </c>
      <c r="F346" s="235">
        <v>1</v>
      </c>
      <c r="G346" s="236">
        <f>0.1+0.2</f>
        <v>0.30000000000000004</v>
      </c>
      <c r="H346" s="236"/>
      <c r="I346" s="236">
        <v>2.2000000000000002</v>
      </c>
      <c r="J346" s="235">
        <v>1</v>
      </c>
      <c r="K346" s="237"/>
      <c r="L346" s="237">
        <f t="shared" si="43"/>
        <v>0.66000000000000014</v>
      </c>
      <c r="M346" s="111"/>
      <c r="N346" s="111"/>
      <c r="O346" s="111"/>
      <c r="P346" s="111"/>
    </row>
    <row r="347" spans="3:16" x14ac:dyDescent="0.3">
      <c r="C347" s="114"/>
      <c r="D347" s="233" t="s">
        <v>775</v>
      </c>
      <c r="E347" s="234" t="s">
        <v>0</v>
      </c>
      <c r="F347" s="235">
        <v>1</v>
      </c>
      <c r="G347" s="236">
        <f>0.25+0.2</f>
        <v>0.45</v>
      </c>
      <c r="H347" s="236"/>
      <c r="I347" s="236">
        <f>2.83+1</f>
        <v>3.83</v>
      </c>
      <c r="J347" s="235">
        <v>1</v>
      </c>
      <c r="K347" s="237"/>
      <c r="L347" s="237">
        <f t="shared" si="43"/>
        <v>1.7235</v>
      </c>
      <c r="M347" s="111"/>
      <c r="N347" s="111"/>
      <c r="O347" s="111"/>
      <c r="P347" s="111"/>
    </row>
    <row r="348" spans="3:16" x14ac:dyDescent="0.3">
      <c r="C348" s="114"/>
      <c r="D348" s="233" t="s">
        <v>776</v>
      </c>
      <c r="E348" s="234" t="s">
        <v>0</v>
      </c>
      <c r="F348" s="235">
        <v>1</v>
      </c>
      <c r="G348" s="236">
        <f>0.25+0.2+0.2</f>
        <v>0.65</v>
      </c>
      <c r="H348" s="236"/>
      <c r="I348" s="236">
        <v>2.63</v>
      </c>
      <c r="J348" s="235">
        <v>1</v>
      </c>
      <c r="K348" s="237"/>
      <c r="L348" s="237">
        <f t="shared" si="43"/>
        <v>1.7095</v>
      </c>
      <c r="M348" s="111"/>
      <c r="N348" s="111"/>
      <c r="O348" s="111"/>
      <c r="P348" s="111"/>
    </row>
    <row r="349" spans="3:16" x14ac:dyDescent="0.3">
      <c r="C349" s="114"/>
      <c r="D349" s="233" t="s">
        <v>777</v>
      </c>
      <c r="E349" s="234" t="s">
        <v>0</v>
      </c>
      <c r="F349" s="235">
        <v>1</v>
      </c>
      <c r="G349" s="236">
        <f>0.25+0.2</f>
        <v>0.45</v>
      </c>
      <c r="H349" s="236"/>
      <c r="I349" s="236">
        <v>2.63</v>
      </c>
      <c r="J349" s="235">
        <v>1</v>
      </c>
      <c r="K349" s="237"/>
      <c r="L349" s="237">
        <f t="shared" si="43"/>
        <v>1.1835</v>
      </c>
      <c r="M349" s="111"/>
      <c r="N349" s="111"/>
      <c r="O349" s="111"/>
      <c r="P349" s="111"/>
    </row>
    <row r="350" spans="3:16" x14ac:dyDescent="0.3">
      <c r="C350" s="114"/>
      <c r="D350" s="233" t="s">
        <v>778</v>
      </c>
      <c r="E350" s="234" t="s">
        <v>0</v>
      </c>
      <c r="F350" s="235">
        <v>1</v>
      </c>
      <c r="G350" s="236">
        <f>0.2+0.15</f>
        <v>0.35</v>
      </c>
      <c r="H350" s="236"/>
      <c r="I350" s="236">
        <v>5.45</v>
      </c>
      <c r="J350" s="235">
        <v>1</v>
      </c>
      <c r="K350" s="237"/>
      <c r="L350" s="237">
        <f t="shared" si="43"/>
        <v>1.9075</v>
      </c>
      <c r="M350" s="111"/>
      <c r="N350" s="111"/>
      <c r="O350" s="111"/>
      <c r="P350" s="111"/>
    </row>
    <row r="351" spans="3:16" x14ac:dyDescent="0.3">
      <c r="C351" s="114"/>
      <c r="D351" s="233" t="s">
        <v>779</v>
      </c>
      <c r="E351" s="234" t="s">
        <v>0</v>
      </c>
      <c r="F351" s="235">
        <v>1</v>
      </c>
      <c r="G351" s="236">
        <f>0.25+0.2+0.2</f>
        <v>0.65</v>
      </c>
      <c r="H351" s="236"/>
      <c r="I351" s="236">
        <v>4.25</v>
      </c>
      <c r="J351" s="235">
        <v>1</v>
      </c>
      <c r="K351" s="237"/>
      <c r="L351" s="237">
        <f t="shared" si="43"/>
        <v>2.7625000000000002</v>
      </c>
      <c r="M351" s="111"/>
      <c r="N351" s="111"/>
      <c r="O351" s="111"/>
      <c r="P351" s="111"/>
    </row>
    <row r="352" spans="3:16" x14ac:dyDescent="0.3">
      <c r="C352" s="114"/>
      <c r="D352" s="233" t="s">
        <v>780</v>
      </c>
      <c r="E352" s="234" t="s">
        <v>0</v>
      </c>
      <c r="F352" s="235">
        <v>1</v>
      </c>
      <c r="G352" s="236">
        <f>0.1+0.2</f>
        <v>0.30000000000000004</v>
      </c>
      <c r="H352" s="236"/>
      <c r="I352" s="236">
        <v>4.25</v>
      </c>
      <c r="J352" s="235">
        <v>1</v>
      </c>
      <c r="K352" s="237"/>
      <c r="L352" s="237">
        <f t="shared" si="43"/>
        <v>1.2750000000000001</v>
      </c>
      <c r="M352" s="111"/>
      <c r="N352" s="111"/>
      <c r="O352" s="111"/>
      <c r="P352" s="111"/>
    </row>
    <row r="353" spans="3:16" x14ac:dyDescent="0.3">
      <c r="C353" s="114"/>
      <c r="D353" s="233" t="s">
        <v>781</v>
      </c>
      <c r="E353" s="234" t="s">
        <v>0</v>
      </c>
      <c r="F353" s="235">
        <v>1</v>
      </c>
      <c r="G353" s="236">
        <f>0.1+0.2+0.2</f>
        <v>0.5</v>
      </c>
      <c r="H353" s="236"/>
      <c r="I353" s="236">
        <v>2.2000000000000002</v>
      </c>
      <c r="J353" s="235">
        <v>1</v>
      </c>
      <c r="K353" s="237"/>
      <c r="L353" s="237">
        <f t="shared" si="43"/>
        <v>1.1000000000000001</v>
      </c>
      <c r="M353" s="111"/>
      <c r="N353" s="111"/>
      <c r="O353" s="111"/>
      <c r="P353" s="111"/>
    </row>
    <row r="354" spans="3:16" x14ac:dyDescent="0.3">
      <c r="C354" s="114"/>
      <c r="D354" s="233" t="s">
        <v>782</v>
      </c>
      <c r="E354" s="234" t="s">
        <v>0</v>
      </c>
      <c r="F354" s="235">
        <v>1</v>
      </c>
      <c r="G354" s="236">
        <f>0.1+0.2+0.2</f>
        <v>0.5</v>
      </c>
      <c r="H354" s="236"/>
      <c r="I354" s="236">
        <v>5.63</v>
      </c>
      <c r="J354" s="235">
        <v>1</v>
      </c>
      <c r="K354" s="237"/>
      <c r="L354" s="237">
        <f t="shared" si="43"/>
        <v>2.8149999999999999</v>
      </c>
      <c r="M354" s="111"/>
      <c r="N354" s="111"/>
      <c r="O354" s="111"/>
      <c r="P354" s="111"/>
    </row>
    <row r="355" spans="3:16" x14ac:dyDescent="0.3">
      <c r="C355" s="114"/>
      <c r="D355" s="233" t="s">
        <v>783</v>
      </c>
      <c r="E355" s="234" t="s">
        <v>0</v>
      </c>
      <c r="F355" s="235">
        <v>1</v>
      </c>
      <c r="G355" s="236">
        <f>0.25+0.2+0.2</f>
        <v>0.65</v>
      </c>
      <c r="H355" s="236"/>
      <c r="I355" s="236">
        <v>1.2</v>
      </c>
      <c r="J355" s="235">
        <v>1</v>
      </c>
      <c r="K355" s="237"/>
      <c r="L355" s="237">
        <f t="shared" si="43"/>
        <v>0.78</v>
      </c>
      <c r="M355" s="111"/>
      <c r="N355" s="111"/>
      <c r="O355" s="111"/>
      <c r="P355" s="111"/>
    </row>
    <row r="356" spans="3:16" x14ac:dyDescent="0.3">
      <c r="C356" s="114"/>
      <c r="D356" s="233"/>
      <c r="E356" s="234" t="s">
        <v>0</v>
      </c>
      <c r="F356" s="235">
        <v>1</v>
      </c>
      <c r="G356" s="236">
        <f>0.1+0.2+0.2</f>
        <v>0.5</v>
      </c>
      <c r="H356" s="236"/>
      <c r="I356" s="236">
        <v>1</v>
      </c>
      <c r="J356" s="235">
        <v>1</v>
      </c>
      <c r="K356" s="237"/>
      <c r="L356" s="237">
        <f t="shared" si="43"/>
        <v>0.5</v>
      </c>
      <c r="M356" s="111"/>
      <c r="N356" s="111"/>
      <c r="O356" s="111"/>
      <c r="P356" s="111"/>
    </row>
    <row r="357" spans="3:16" x14ac:dyDescent="0.3">
      <c r="C357" s="114"/>
      <c r="D357" s="233" t="s">
        <v>784</v>
      </c>
      <c r="E357" s="234" t="s">
        <v>0</v>
      </c>
      <c r="F357" s="235">
        <v>1</v>
      </c>
      <c r="G357" s="236">
        <f>0.1+0.2+0.2</f>
        <v>0.5</v>
      </c>
      <c r="H357" s="236"/>
      <c r="I357" s="236">
        <v>5.69</v>
      </c>
      <c r="J357" s="235">
        <v>1</v>
      </c>
      <c r="K357" s="237"/>
      <c r="L357" s="237">
        <f t="shared" si="43"/>
        <v>2.8450000000000002</v>
      </c>
      <c r="M357" s="111"/>
      <c r="N357" s="111"/>
      <c r="O357" s="111"/>
      <c r="P357" s="111"/>
    </row>
    <row r="358" spans="3:16" x14ac:dyDescent="0.3">
      <c r="C358" s="114"/>
      <c r="D358" s="233" t="s">
        <v>785</v>
      </c>
      <c r="E358" s="234" t="s">
        <v>0</v>
      </c>
      <c r="F358" s="235">
        <v>1</v>
      </c>
      <c r="G358" s="236">
        <f>0.25+0.2</f>
        <v>0.45</v>
      </c>
      <c r="H358" s="236"/>
      <c r="I358" s="236">
        <v>4.3499999999999996</v>
      </c>
      <c r="J358" s="235">
        <v>1</v>
      </c>
      <c r="K358" s="237"/>
      <c r="L358" s="237">
        <f t="shared" si="43"/>
        <v>1.9574999999999998</v>
      </c>
      <c r="M358" s="111"/>
      <c r="N358" s="111"/>
      <c r="O358" s="111"/>
      <c r="P358" s="111"/>
    </row>
    <row r="359" spans="3:16" x14ac:dyDescent="0.3">
      <c r="C359" s="114"/>
      <c r="D359" s="233" t="s">
        <v>786</v>
      </c>
      <c r="E359" s="234" t="s">
        <v>0</v>
      </c>
      <c r="F359" s="235">
        <v>1</v>
      </c>
      <c r="G359" s="236">
        <f>0.25+0.2+0.2</f>
        <v>0.65</v>
      </c>
      <c r="H359" s="236"/>
      <c r="I359" s="236">
        <v>3.84</v>
      </c>
      <c r="J359" s="235">
        <v>1</v>
      </c>
      <c r="K359" s="237"/>
      <c r="L359" s="237">
        <f t="shared" si="43"/>
        <v>2.496</v>
      </c>
      <c r="M359" s="111"/>
      <c r="N359" s="111"/>
      <c r="O359" s="111"/>
      <c r="P359" s="111"/>
    </row>
    <row r="360" spans="3:16" x14ac:dyDescent="0.3">
      <c r="C360" s="114"/>
      <c r="D360" s="233"/>
      <c r="E360" s="234" t="s">
        <v>0</v>
      </c>
      <c r="F360" s="235">
        <v>1</v>
      </c>
      <c r="G360" s="236">
        <f>0.1+0.2+0.2</f>
        <v>0.5</v>
      </c>
      <c r="H360" s="236"/>
      <c r="I360" s="236">
        <v>0.51</v>
      </c>
      <c r="J360" s="235">
        <v>1</v>
      </c>
      <c r="K360" s="237"/>
      <c r="L360" s="237">
        <f t="shared" si="43"/>
        <v>0.255</v>
      </c>
      <c r="M360" s="111"/>
      <c r="N360" s="111"/>
      <c r="O360" s="111"/>
      <c r="P360" s="111"/>
    </row>
    <row r="361" spans="3:16" x14ac:dyDescent="0.3">
      <c r="C361" s="114"/>
      <c r="D361" s="233" t="s">
        <v>787</v>
      </c>
      <c r="E361" s="234" t="s">
        <v>0</v>
      </c>
      <c r="F361" s="235">
        <v>1</v>
      </c>
      <c r="G361" s="236">
        <f>0.1+0.2</f>
        <v>0.30000000000000004</v>
      </c>
      <c r="H361" s="236"/>
      <c r="I361" s="236">
        <v>2.2999999999999998</v>
      </c>
      <c r="J361" s="235">
        <v>1</v>
      </c>
      <c r="K361" s="237"/>
      <c r="L361" s="237">
        <f t="shared" si="43"/>
        <v>0.69000000000000006</v>
      </c>
      <c r="M361" s="111"/>
      <c r="N361" s="111"/>
      <c r="O361" s="111"/>
      <c r="P361" s="111"/>
    </row>
    <row r="362" spans="3:16" x14ac:dyDescent="0.3">
      <c r="C362" s="114"/>
      <c r="D362" s="233"/>
      <c r="E362" s="234" t="s">
        <v>0</v>
      </c>
      <c r="F362" s="235">
        <v>1</v>
      </c>
      <c r="G362" s="236">
        <f>0.1+0.2</f>
        <v>0.30000000000000004</v>
      </c>
      <c r="H362" s="236"/>
      <c r="I362" s="236">
        <v>0.5</v>
      </c>
      <c r="J362" s="235">
        <v>1</v>
      </c>
      <c r="K362" s="237"/>
      <c r="L362" s="237">
        <f t="shared" si="43"/>
        <v>0.15000000000000002</v>
      </c>
      <c r="M362" s="111"/>
      <c r="N362" s="111"/>
      <c r="O362" s="111"/>
      <c r="P362" s="111"/>
    </row>
    <row r="363" spans="3:16" x14ac:dyDescent="0.3">
      <c r="C363" s="114"/>
      <c r="D363" s="233"/>
      <c r="E363" s="234" t="s">
        <v>0</v>
      </c>
      <c r="F363" s="235">
        <v>1</v>
      </c>
      <c r="G363" s="236">
        <f>0.25+0.2+0.2</f>
        <v>0.65</v>
      </c>
      <c r="H363" s="236"/>
      <c r="I363" s="236">
        <v>1.55</v>
      </c>
      <c r="J363" s="235">
        <v>1</v>
      </c>
      <c r="K363" s="237"/>
      <c r="L363" s="237">
        <f t="shared" si="43"/>
        <v>1.0075000000000001</v>
      </c>
      <c r="M363" s="111"/>
      <c r="N363" s="111"/>
      <c r="O363" s="111"/>
      <c r="P363" s="111"/>
    </row>
    <row r="364" spans="3:16" x14ac:dyDescent="0.3">
      <c r="C364" s="114"/>
      <c r="D364" s="233" t="s">
        <v>788</v>
      </c>
      <c r="E364" s="234" t="s">
        <v>0</v>
      </c>
      <c r="F364" s="235">
        <v>1</v>
      </c>
      <c r="G364" s="236">
        <f>0.25+0.2+0.2</f>
        <v>0.65</v>
      </c>
      <c r="H364" s="236"/>
      <c r="I364" s="236">
        <v>2.2000000000000002</v>
      </c>
      <c r="J364" s="235">
        <v>1</v>
      </c>
      <c r="K364" s="237"/>
      <c r="L364" s="237">
        <f t="shared" si="43"/>
        <v>1.4300000000000002</v>
      </c>
      <c r="M364" s="111"/>
      <c r="N364" s="111"/>
      <c r="O364" s="111"/>
      <c r="P364" s="111"/>
    </row>
    <row r="365" spans="3:16" x14ac:dyDescent="0.3">
      <c r="C365" s="114"/>
      <c r="D365" s="233" t="s">
        <v>789</v>
      </c>
      <c r="E365" s="234" t="s">
        <v>0</v>
      </c>
      <c r="F365" s="235">
        <v>1</v>
      </c>
      <c r="G365" s="236">
        <f>0.25+0.2+0.2</f>
        <v>0.65</v>
      </c>
      <c r="H365" s="236"/>
      <c r="I365" s="236">
        <v>5.69</v>
      </c>
      <c r="J365" s="235">
        <v>1</v>
      </c>
      <c r="K365" s="237"/>
      <c r="L365" s="237">
        <f t="shared" si="43"/>
        <v>3.6985000000000006</v>
      </c>
      <c r="M365" s="111"/>
      <c r="N365" s="111"/>
      <c r="O365" s="111"/>
      <c r="P365" s="111"/>
    </row>
    <row r="366" spans="3:16" x14ac:dyDescent="0.3">
      <c r="C366" s="114"/>
      <c r="D366" s="233" t="s">
        <v>790</v>
      </c>
      <c r="E366" s="234" t="s">
        <v>0</v>
      </c>
      <c r="F366" s="235">
        <v>1</v>
      </c>
      <c r="G366" s="236">
        <f>0.25+0.2</f>
        <v>0.45</v>
      </c>
      <c r="H366" s="236"/>
      <c r="I366" s="236">
        <v>3.81</v>
      </c>
      <c r="J366" s="235">
        <v>1</v>
      </c>
      <c r="K366" s="237"/>
      <c r="L366" s="237">
        <f t="shared" si="43"/>
        <v>1.7145000000000001</v>
      </c>
      <c r="M366" s="111"/>
      <c r="N366" s="111"/>
      <c r="O366" s="111"/>
      <c r="P366" s="111"/>
    </row>
    <row r="367" spans="3:16" x14ac:dyDescent="0.3">
      <c r="C367" s="114"/>
      <c r="D367" s="233" t="s">
        <v>791</v>
      </c>
      <c r="E367" s="234" t="s">
        <v>0</v>
      </c>
      <c r="F367" s="235">
        <v>1</v>
      </c>
      <c r="G367" s="236">
        <f>0.25+0.2+0.2</f>
        <v>0.65</v>
      </c>
      <c r="H367" s="236"/>
      <c r="I367" s="236">
        <v>3.81</v>
      </c>
      <c r="J367" s="235">
        <v>1</v>
      </c>
      <c r="K367" s="237"/>
      <c r="L367" s="237">
        <f t="shared" si="43"/>
        <v>2.4765000000000001</v>
      </c>
      <c r="M367" s="111"/>
      <c r="N367" s="111"/>
      <c r="O367" s="111"/>
      <c r="P367" s="111"/>
    </row>
    <row r="368" spans="3:16" x14ac:dyDescent="0.3">
      <c r="C368" s="114"/>
      <c r="D368" s="233" t="s">
        <v>792</v>
      </c>
      <c r="E368" s="234" t="s">
        <v>0</v>
      </c>
      <c r="F368" s="235">
        <v>1</v>
      </c>
      <c r="G368" s="236">
        <f>0.1+0.2</f>
        <v>0.30000000000000004</v>
      </c>
      <c r="H368" s="236"/>
      <c r="I368" s="236">
        <v>2.2999999999999998</v>
      </c>
      <c r="J368" s="235">
        <v>1</v>
      </c>
      <c r="K368" s="237"/>
      <c r="L368" s="237">
        <f t="shared" si="43"/>
        <v>0.69000000000000006</v>
      </c>
      <c r="M368" s="111"/>
      <c r="N368" s="111"/>
      <c r="O368" s="111"/>
      <c r="P368" s="111"/>
    </row>
    <row r="369" spans="3:16" x14ac:dyDescent="0.3">
      <c r="C369" s="114"/>
      <c r="D369" s="233"/>
      <c r="E369" s="234" t="s">
        <v>0</v>
      </c>
      <c r="F369" s="235">
        <v>1</v>
      </c>
      <c r="G369" s="236">
        <f>0.1+0.2</f>
        <v>0.30000000000000004</v>
      </c>
      <c r="H369" s="236"/>
      <c r="I369" s="236">
        <v>1.5</v>
      </c>
      <c r="J369" s="235">
        <v>1</v>
      </c>
      <c r="K369" s="237"/>
      <c r="L369" s="237">
        <f t="shared" si="43"/>
        <v>0.45000000000000007</v>
      </c>
      <c r="M369" s="111"/>
      <c r="N369" s="111"/>
      <c r="O369" s="111"/>
      <c r="P369" s="111"/>
    </row>
    <row r="370" spans="3:16" x14ac:dyDescent="0.3">
      <c r="C370" s="114"/>
      <c r="D370" s="233" t="s">
        <v>793</v>
      </c>
      <c r="E370" s="234" t="s">
        <v>0</v>
      </c>
      <c r="F370" s="235">
        <v>1</v>
      </c>
      <c r="G370" s="236">
        <f>0.25+0.2+0.2</f>
        <v>0.65</v>
      </c>
      <c r="H370" s="236"/>
      <c r="I370" s="236">
        <v>2.1</v>
      </c>
      <c r="J370" s="235">
        <v>1</v>
      </c>
      <c r="K370" s="237"/>
      <c r="L370" s="237">
        <f t="shared" si="43"/>
        <v>1.3650000000000002</v>
      </c>
      <c r="M370" s="111"/>
      <c r="N370" s="111"/>
      <c r="O370" s="111"/>
      <c r="P370" s="111"/>
    </row>
    <row r="371" spans="3:16" x14ac:dyDescent="0.3">
      <c r="C371" s="114"/>
      <c r="D371" s="233" t="s">
        <v>794</v>
      </c>
      <c r="E371" s="234" t="s">
        <v>0</v>
      </c>
      <c r="F371" s="235">
        <v>1</v>
      </c>
      <c r="G371" s="236">
        <f>0.25+0.2+0.2</f>
        <v>0.65</v>
      </c>
      <c r="H371" s="236"/>
      <c r="I371" s="236">
        <v>5.69</v>
      </c>
      <c r="J371" s="235">
        <v>1</v>
      </c>
      <c r="K371" s="237"/>
      <c r="L371" s="237">
        <f t="shared" si="43"/>
        <v>3.6985000000000006</v>
      </c>
      <c r="M371" s="111"/>
      <c r="N371" s="111"/>
      <c r="O371" s="111"/>
      <c r="P371" s="111"/>
    </row>
    <row r="372" spans="3:16" x14ac:dyDescent="0.3">
      <c r="C372" s="114"/>
      <c r="D372" s="233" t="s">
        <v>795</v>
      </c>
      <c r="E372" s="234" t="s">
        <v>0</v>
      </c>
      <c r="F372" s="235">
        <v>1</v>
      </c>
      <c r="G372" s="236">
        <f>0.25+0.2</f>
        <v>0.45</v>
      </c>
      <c r="H372" s="236"/>
      <c r="I372" s="236">
        <v>4.34</v>
      </c>
      <c r="J372" s="235">
        <v>1</v>
      </c>
      <c r="K372" s="237"/>
      <c r="L372" s="237">
        <f t="shared" si="43"/>
        <v>1.9530000000000001</v>
      </c>
      <c r="M372" s="111"/>
      <c r="N372" s="111"/>
      <c r="O372" s="111"/>
      <c r="P372" s="111"/>
    </row>
    <row r="373" spans="3:16" x14ac:dyDescent="0.3">
      <c r="C373" s="114"/>
      <c r="D373" s="233" t="s">
        <v>796</v>
      </c>
      <c r="E373" s="234" t="s">
        <v>0</v>
      </c>
      <c r="F373" s="235">
        <v>1</v>
      </c>
      <c r="G373" s="236">
        <f>0.1+0.2+0.2</f>
        <v>0.5</v>
      </c>
      <c r="H373" s="236"/>
      <c r="I373" s="236">
        <v>1.47</v>
      </c>
      <c r="J373" s="235">
        <v>1</v>
      </c>
      <c r="K373" s="237"/>
      <c r="L373" s="237">
        <f t="shared" si="43"/>
        <v>0.73499999999999999</v>
      </c>
      <c r="M373" s="111"/>
      <c r="N373" s="111"/>
      <c r="O373" s="111"/>
      <c r="P373" s="111"/>
    </row>
    <row r="374" spans="3:16" x14ac:dyDescent="0.3">
      <c r="C374" s="114"/>
      <c r="D374" s="233"/>
      <c r="E374" s="234" t="s">
        <v>0</v>
      </c>
      <c r="F374" s="235">
        <v>1</v>
      </c>
      <c r="G374" s="236">
        <f>0.25+0.2+0.2</f>
        <v>0.65</v>
      </c>
      <c r="H374" s="236"/>
      <c r="I374" s="236">
        <v>2.87</v>
      </c>
      <c r="J374" s="235">
        <v>1</v>
      </c>
      <c r="K374" s="237"/>
      <c r="L374" s="237">
        <f t="shared" si="43"/>
        <v>1.8655000000000002</v>
      </c>
      <c r="M374" s="111"/>
      <c r="N374" s="111"/>
      <c r="O374" s="111"/>
      <c r="P374" s="111"/>
    </row>
    <row r="375" spans="3:16" x14ac:dyDescent="0.3">
      <c r="C375" s="114"/>
      <c r="D375" s="233" t="s">
        <v>797</v>
      </c>
      <c r="E375" s="234" t="s">
        <v>0</v>
      </c>
      <c r="F375" s="235">
        <v>1</v>
      </c>
      <c r="G375" s="236">
        <f>0.1+0.2</f>
        <v>0.30000000000000004</v>
      </c>
      <c r="H375" s="236"/>
      <c r="I375" s="236">
        <v>1.47</v>
      </c>
      <c r="J375" s="235">
        <v>1</v>
      </c>
      <c r="K375" s="237"/>
      <c r="L375" s="237">
        <f t="shared" si="43"/>
        <v>0.44100000000000006</v>
      </c>
      <c r="M375" s="111"/>
      <c r="N375" s="111"/>
      <c r="O375" s="111"/>
      <c r="P375" s="111"/>
    </row>
    <row r="376" spans="3:16" x14ac:dyDescent="0.3">
      <c r="C376" s="114"/>
      <c r="D376" s="280"/>
      <c r="E376" s="234" t="s">
        <v>0</v>
      </c>
      <c r="F376" s="235">
        <v>1</v>
      </c>
      <c r="G376" s="236">
        <f>0.1+0.2</f>
        <v>0.30000000000000004</v>
      </c>
      <c r="H376" s="236"/>
      <c r="I376" s="236">
        <v>1.33</v>
      </c>
      <c r="J376" s="235">
        <v>1</v>
      </c>
      <c r="K376" s="237"/>
      <c r="L376" s="237">
        <f t="shared" si="43"/>
        <v>0.39900000000000008</v>
      </c>
      <c r="M376" s="111"/>
      <c r="N376" s="111"/>
      <c r="O376" s="111"/>
      <c r="P376" s="111"/>
    </row>
    <row r="377" spans="3:16" x14ac:dyDescent="0.3">
      <c r="C377" s="114"/>
      <c r="D377" s="280"/>
      <c r="E377" s="234" t="s">
        <v>0</v>
      </c>
      <c r="F377" s="235">
        <v>1</v>
      </c>
      <c r="G377" s="236">
        <f>0.25+0.2</f>
        <v>0.45</v>
      </c>
      <c r="H377" s="236"/>
      <c r="I377" s="236">
        <v>1.56</v>
      </c>
      <c r="J377" s="235">
        <v>1</v>
      </c>
      <c r="K377" s="237"/>
      <c r="L377" s="237">
        <f t="shared" si="43"/>
        <v>0.70200000000000007</v>
      </c>
      <c r="M377" s="111"/>
      <c r="N377" s="111"/>
      <c r="O377" s="111"/>
      <c r="P377" s="111"/>
    </row>
    <row r="378" spans="3:16" x14ac:dyDescent="0.3">
      <c r="C378" s="114"/>
      <c r="D378" s="233" t="s">
        <v>798</v>
      </c>
      <c r="E378" s="234" t="s">
        <v>0</v>
      </c>
      <c r="F378" s="235">
        <v>1</v>
      </c>
      <c r="G378" s="236">
        <f>0.25+0.2+0.2</f>
        <v>0.65</v>
      </c>
      <c r="H378" s="236"/>
      <c r="I378" s="236">
        <v>2.1</v>
      </c>
      <c r="J378" s="235">
        <v>1</v>
      </c>
      <c r="K378" s="237"/>
      <c r="L378" s="237">
        <f t="shared" si="43"/>
        <v>1.3650000000000002</v>
      </c>
      <c r="M378" s="111"/>
      <c r="N378" s="111"/>
      <c r="O378" s="111"/>
      <c r="P378" s="111"/>
    </row>
    <row r="379" spans="3:16" x14ac:dyDescent="0.3">
      <c r="C379" s="114"/>
      <c r="D379" s="233" t="s">
        <v>799</v>
      </c>
      <c r="E379" s="234" t="s">
        <v>0</v>
      </c>
      <c r="F379" s="235">
        <v>1</v>
      </c>
      <c r="G379" s="236">
        <f>0.25+0.2+0.2</f>
        <v>0.65</v>
      </c>
      <c r="H379" s="236"/>
      <c r="I379" s="236">
        <v>1.2</v>
      </c>
      <c r="J379" s="235">
        <v>1</v>
      </c>
      <c r="K379" s="237"/>
      <c r="L379" s="237">
        <f t="shared" si="43"/>
        <v>0.78</v>
      </c>
      <c r="M379" s="111"/>
      <c r="N379" s="111"/>
      <c r="O379" s="111"/>
      <c r="P379" s="111"/>
    </row>
    <row r="380" spans="3:16" x14ac:dyDescent="0.3">
      <c r="C380" s="114"/>
      <c r="D380" s="233"/>
      <c r="E380" s="234" t="s">
        <v>0</v>
      </c>
      <c r="F380" s="235">
        <v>1</v>
      </c>
      <c r="G380" s="236">
        <f>0.1+0.2+0.2</f>
        <v>0.5</v>
      </c>
      <c r="H380" s="236"/>
      <c r="I380" s="236">
        <v>4.49</v>
      </c>
      <c r="J380" s="235">
        <v>1</v>
      </c>
      <c r="K380" s="237"/>
      <c r="L380" s="237">
        <f t="shared" si="43"/>
        <v>2.2450000000000001</v>
      </c>
      <c r="M380" s="111"/>
      <c r="N380" s="111"/>
      <c r="O380" s="111"/>
      <c r="P380" s="111"/>
    </row>
    <row r="381" spans="3:16" x14ac:dyDescent="0.3">
      <c r="C381" s="114"/>
      <c r="D381" s="233" t="s">
        <v>800</v>
      </c>
      <c r="E381" s="234" t="s">
        <v>0</v>
      </c>
      <c r="F381" s="235">
        <v>1</v>
      </c>
      <c r="G381" s="236">
        <f>0.25+0.2</f>
        <v>0.45</v>
      </c>
      <c r="H381" s="236"/>
      <c r="I381" s="236">
        <v>3.78</v>
      </c>
      <c r="J381" s="235">
        <v>1</v>
      </c>
      <c r="K381" s="237"/>
      <c r="L381" s="237">
        <f t="shared" si="43"/>
        <v>1.7009999999999998</v>
      </c>
      <c r="M381" s="111"/>
      <c r="N381" s="111"/>
      <c r="O381" s="111"/>
      <c r="P381" s="111"/>
    </row>
    <row r="382" spans="3:16" x14ac:dyDescent="0.3">
      <c r="C382" s="114"/>
      <c r="D382" s="233" t="s">
        <v>801</v>
      </c>
      <c r="E382" s="234" t="s">
        <v>0</v>
      </c>
      <c r="F382" s="235">
        <v>1</v>
      </c>
      <c r="G382" s="236">
        <f>0.25+0.2+0.2</f>
        <v>0.65</v>
      </c>
      <c r="H382" s="236"/>
      <c r="I382" s="236">
        <f>1.5+2.28</f>
        <v>3.78</v>
      </c>
      <c r="J382" s="235">
        <v>1</v>
      </c>
      <c r="K382" s="237"/>
      <c r="L382" s="237">
        <f t="shared" si="43"/>
        <v>2.4569999999999999</v>
      </c>
      <c r="M382" s="111"/>
      <c r="N382" s="111"/>
      <c r="O382" s="111"/>
      <c r="P382" s="111"/>
    </row>
    <row r="383" spans="3:16" x14ac:dyDescent="0.3">
      <c r="C383" s="114"/>
      <c r="D383" s="233" t="s">
        <v>802</v>
      </c>
      <c r="E383" s="234" t="s">
        <v>0</v>
      </c>
      <c r="F383" s="235">
        <v>1</v>
      </c>
      <c r="G383" s="236">
        <f>0.1+0.2</f>
        <v>0.30000000000000004</v>
      </c>
      <c r="H383" s="236"/>
      <c r="I383" s="236">
        <v>2.2799999999999998</v>
      </c>
      <c r="J383" s="235">
        <v>1</v>
      </c>
      <c r="K383" s="237"/>
      <c r="L383" s="237">
        <f t="shared" si="43"/>
        <v>0.68400000000000005</v>
      </c>
      <c r="M383" s="111"/>
      <c r="N383" s="111"/>
      <c r="O383" s="111"/>
      <c r="P383" s="111"/>
    </row>
    <row r="384" spans="3:16" x14ac:dyDescent="0.3">
      <c r="C384" s="114"/>
      <c r="D384" s="280"/>
      <c r="E384" s="234" t="s">
        <v>0</v>
      </c>
      <c r="F384" s="235">
        <v>1</v>
      </c>
      <c r="G384" s="236">
        <f>0.25+0.2</f>
        <v>0.45</v>
      </c>
      <c r="H384" s="236"/>
      <c r="I384" s="236">
        <v>1.5</v>
      </c>
      <c r="J384" s="235">
        <v>1</v>
      </c>
      <c r="K384" s="237"/>
      <c r="L384" s="237">
        <f t="shared" si="43"/>
        <v>0.67500000000000004</v>
      </c>
      <c r="M384" s="111"/>
      <c r="N384" s="111"/>
      <c r="O384" s="111"/>
      <c r="P384" s="111"/>
    </row>
    <row r="385" spans="3:16" x14ac:dyDescent="0.3">
      <c r="C385" s="114"/>
      <c r="D385" s="233" t="s">
        <v>803</v>
      </c>
      <c r="E385" s="234" t="s">
        <v>0</v>
      </c>
      <c r="F385" s="235">
        <v>1</v>
      </c>
      <c r="G385" s="236">
        <f>0.25+0.2+0.2</f>
        <v>0.65</v>
      </c>
      <c r="H385" s="236"/>
      <c r="I385" s="236">
        <v>2.2000000000000002</v>
      </c>
      <c r="J385" s="235">
        <v>1</v>
      </c>
      <c r="K385" s="237"/>
      <c r="L385" s="237">
        <f t="shared" si="43"/>
        <v>1.4300000000000002</v>
      </c>
      <c r="M385" s="111"/>
      <c r="N385" s="111"/>
      <c r="O385" s="111"/>
      <c r="P385" s="111"/>
    </row>
    <row r="386" spans="3:16" x14ac:dyDescent="0.3">
      <c r="C386" s="114"/>
      <c r="D386" s="233" t="s">
        <v>804</v>
      </c>
      <c r="E386" s="234" t="s">
        <v>0</v>
      </c>
      <c r="F386" s="235">
        <v>1</v>
      </c>
      <c r="G386" s="236">
        <f>0.25+0.2+0.2</f>
        <v>0.65</v>
      </c>
      <c r="H386" s="236"/>
      <c r="I386" s="236">
        <v>5.69</v>
      </c>
      <c r="J386" s="235">
        <v>1</v>
      </c>
      <c r="K386" s="237"/>
      <c r="L386" s="237">
        <f t="shared" si="43"/>
        <v>3.6985000000000006</v>
      </c>
      <c r="M386" s="111"/>
      <c r="N386" s="111"/>
      <c r="O386" s="111"/>
      <c r="P386" s="111"/>
    </row>
    <row r="387" spans="3:16" x14ac:dyDescent="0.3">
      <c r="C387" s="114"/>
      <c r="D387" s="233" t="s">
        <v>805</v>
      </c>
      <c r="E387" s="234" t="s">
        <v>0</v>
      </c>
      <c r="F387" s="235">
        <v>1</v>
      </c>
      <c r="G387" s="236">
        <f>0.25+0.2</f>
        <v>0.45</v>
      </c>
      <c r="H387" s="236"/>
      <c r="I387" s="236">
        <v>4.3600000000000003</v>
      </c>
      <c r="J387" s="235">
        <v>1</v>
      </c>
      <c r="K387" s="237"/>
      <c r="L387" s="237">
        <f t="shared" si="43"/>
        <v>1.9620000000000002</v>
      </c>
      <c r="M387" s="111"/>
      <c r="N387" s="111"/>
      <c r="O387" s="111"/>
      <c r="P387" s="111"/>
    </row>
    <row r="388" spans="3:16" x14ac:dyDescent="0.3">
      <c r="C388" s="114"/>
      <c r="D388" s="233" t="s">
        <v>806</v>
      </c>
      <c r="E388" s="234" t="s">
        <v>0</v>
      </c>
      <c r="F388" s="235">
        <v>1</v>
      </c>
      <c r="G388" s="236">
        <f>0.25+0.2+0.2</f>
        <v>0.65</v>
      </c>
      <c r="H388" s="236"/>
      <c r="I388" s="236">
        <f>1.63+1.53</f>
        <v>3.16</v>
      </c>
      <c r="J388" s="235">
        <v>1</v>
      </c>
      <c r="K388" s="237"/>
      <c r="L388" s="237">
        <f t="shared" si="43"/>
        <v>2.0540000000000003</v>
      </c>
      <c r="M388" s="111"/>
      <c r="N388" s="111"/>
      <c r="O388" s="111"/>
      <c r="P388" s="111"/>
    </row>
    <row r="389" spans="3:16" x14ac:dyDescent="0.3">
      <c r="C389" s="114"/>
      <c r="D389" s="233" t="s">
        <v>807</v>
      </c>
      <c r="E389" s="234" t="s">
        <v>0</v>
      </c>
      <c r="F389" s="235">
        <v>1</v>
      </c>
      <c r="G389" s="236">
        <f>0.1+0.2</f>
        <v>0.30000000000000004</v>
      </c>
      <c r="H389" s="236"/>
      <c r="I389" s="236">
        <v>1.63</v>
      </c>
      <c r="J389" s="235">
        <v>1</v>
      </c>
      <c r="K389" s="237"/>
      <c r="L389" s="237">
        <f t="shared" si="43"/>
        <v>0.48900000000000005</v>
      </c>
      <c r="M389" s="111"/>
      <c r="N389" s="111"/>
      <c r="O389" s="111"/>
      <c r="P389" s="111"/>
    </row>
    <row r="390" spans="3:16" x14ac:dyDescent="0.3">
      <c r="C390" s="114"/>
      <c r="D390" s="280"/>
      <c r="E390" s="234" t="s">
        <v>0</v>
      </c>
      <c r="F390" s="235">
        <v>1</v>
      </c>
      <c r="G390" s="236">
        <f>0.25+0.2</f>
        <v>0.45</v>
      </c>
      <c r="H390" s="236"/>
      <c r="I390" s="236">
        <v>1.53</v>
      </c>
      <c r="J390" s="235">
        <v>1</v>
      </c>
      <c r="K390" s="237"/>
      <c r="L390" s="237">
        <f t="shared" si="43"/>
        <v>0.6885</v>
      </c>
      <c r="M390" s="111"/>
      <c r="N390" s="111"/>
      <c r="O390" s="111"/>
      <c r="P390" s="111"/>
    </row>
    <row r="391" spans="3:16" x14ac:dyDescent="0.3">
      <c r="C391" s="114"/>
      <c r="D391" s="233" t="s">
        <v>808</v>
      </c>
      <c r="E391" s="234" t="s">
        <v>0</v>
      </c>
      <c r="F391" s="235">
        <v>1</v>
      </c>
      <c r="G391" s="236">
        <f>0.25+0.2+0.2</f>
        <v>0.65</v>
      </c>
      <c r="H391" s="236"/>
      <c r="I391" s="236">
        <v>2.2000000000000002</v>
      </c>
      <c r="J391" s="235">
        <v>1</v>
      </c>
      <c r="K391" s="237"/>
      <c r="L391" s="237">
        <f t="shared" si="43"/>
        <v>1.4300000000000002</v>
      </c>
      <c r="M391" s="111"/>
      <c r="N391" s="111"/>
      <c r="O391" s="111"/>
      <c r="P391" s="111"/>
    </row>
    <row r="392" spans="3:16" x14ac:dyDescent="0.3">
      <c r="C392" s="106"/>
      <c r="D392" s="233" t="s">
        <v>809</v>
      </c>
      <c r="E392" s="234" t="s">
        <v>0</v>
      </c>
      <c r="F392" s="235">
        <v>1</v>
      </c>
      <c r="G392" s="236">
        <f>0.25+0.2+0.2</f>
        <v>0.65</v>
      </c>
      <c r="H392" s="236"/>
      <c r="I392" s="236">
        <v>5.69</v>
      </c>
      <c r="J392" s="235">
        <v>1</v>
      </c>
      <c r="K392" s="237"/>
      <c r="L392" s="237">
        <f t="shared" si="43"/>
        <v>3.6985000000000006</v>
      </c>
      <c r="M392" s="113"/>
      <c r="N392" s="113"/>
      <c r="O392" s="113"/>
      <c r="P392" s="113"/>
    </row>
    <row r="393" spans="3:16" x14ac:dyDescent="0.3">
      <c r="C393" s="114"/>
      <c r="D393" s="233" t="s">
        <v>805</v>
      </c>
      <c r="E393" s="234" t="s">
        <v>0</v>
      </c>
      <c r="F393" s="235">
        <v>1</v>
      </c>
      <c r="G393" s="236">
        <f>0.25+0.2</f>
        <v>0.45</v>
      </c>
      <c r="H393" s="236"/>
      <c r="I393" s="236">
        <v>3.81</v>
      </c>
      <c r="J393" s="235">
        <v>1</v>
      </c>
      <c r="K393" s="237"/>
      <c r="L393" s="237">
        <f t="shared" si="43"/>
        <v>1.7145000000000001</v>
      </c>
      <c r="M393" s="111"/>
      <c r="N393" s="111"/>
      <c r="O393" s="111"/>
      <c r="P393" s="111"/>
    </row>
    <row r="394" spans="3:16" x14ac:dyDescent="0.3">
      <c r="C394" s="114"/>
      <c r="D394" s="233" t="s">
        <v>806</v>
      </c>
      <c r="E394" s="234" t="s">
        <v>0</v>
      </c>
      <c r="F394" s="235">
        <v>1</v>
      </c>
      <c r="G394" s="236">
        <f>0.25+0.2+0.2</f>
        <v>0.65</v>
      </c>
      <c r="H394" s="236"/>
      <c r="I394" s="236">
        <f>2.3+1.5</f>
        <v>3.8</v>
      </c>
      <c r="J394" s="235">
        <v>1</v>
      </c>
      <c r="K394" s="237"/>
      <c r="L394" s="237">
        <f t="shared" si="43"/>
        <v>2.4699999999999998</v>
      </c>
      <c r="M394" s="111"/>
      <c r="N394" s="111"/>
      <c r="O394" s="111"/>
      <c r="P394" s="111"/>
    </row>
    <row r="395" spans="3:16" x14ac:dyDescent="0.3">
      <c r="C395" s="114"/>
      <c r="D395" s="233" t="s">
        <v>807</v>
      </c>
      <c r="E395" s="234" t="s">
        <v>0</v>
      </c>
      <c r="F395" s="235">
        <v>1</v>
      </c>
      <c r="G395" s="236">
        <f>0.1+0.2</f>
        <v>0.30000000000000004</v>
      </c>
      <c r="H395" s="236"/>
      <c r="I395" s="236">
        <v>2.2999999999999998</v>
      </c>
      <c r="J395" s="235">
        <v>1</v>
      </c>
      <c r="K395" s="237"/>
      <c r="L395" s="237">
        <f t="shared" si="43"/>
        <v>0.69000000000000006</v>
      </c>
      <c r="M395" s="111"/>
      <c r="N395" s="111"/>
      <c r="O395" s="111"/>
      <c r="P395" s="111"/>
    </row>
    <row r="396" spans="3:16" x14ac:dyDescent="0.3">
      <c r="C396" s="114"/>
      <c r="D396" s="280"/>
      <c r="E396" s="234" t="s">
        <v>0</v>
      </c>
      <c r="F396" s="235">
        <v>1</v>
      </c>
      <c r="G396" s="236">
        <f>0.25+0.2</f>
        <v>0.45</v>
      </c>
      <c r="H396" s="236"/>
      <c r="I396" s="236">
        <v>1.5</v>
      </c>
      <c r="J396" s="235">
        <v>1</v>
      </c>
      <c r="K396" s="237"/>
      <c r="L396" s="237">
        <f t="shared" si="43"/>
        <v>0.67500000000000004</v>
      </c>
      <c r="M396" s="111"/>
      <c r="N396" s="111"/>
      <c r="O396" s="111"/>
      <c r="P396" s="111"/>
    </row>
    <row r="397" spans="3:16" x14ac:dyDescent="0.3">
      <c r="C397" s="114"/>
      <c r="D397" s="233" t="s">
        <v>810</v>
      </c>
      <c r="E397" s="234" t="s">
        <v>0</v>
      </c>
      <c r="F397" s="235">
        <v>1</v>
      </c>
      <c r="G397" s="236">
        <f>0.25+0.2+0.2</f>
        <v>0.65</v>
      </c>
      <c r="H397" s="236"/>
      <c r="I397" s="236">
        <v>2.2000000000000002</v>
      </c>
      <c r="J397" s="235">
        <v>1</v>
      </c>
      <c r="K397" s="237"/>
      <c r="L397" s="237">
        <f t="shared" si="43"/>
        <v>1.4300000000000002</v>
      </c>
      <c r="M397" s="111"/>
      <c r="N397" s="111"/>
      <c r="O397" s="111"/>
      <c r="P397" s="111"/>
    </row>
    <row r="398" spans="3:16" x14ac:dyDescent="0.3">
      <c r="C398" s="114"/>
      <c r="D398" s="233" t="s">
        <v>811</v>
      </c>
      <c r="E398" s="234" t="s">
        <v>0</v>
      </c>
      <c r="F398" s="235">
        <v>1</v>
      </c>
      <c r="G398" s="236">
        <f>0.1+0.2+0.2</f>
        <v>0.5</v>
      </c>
      <c r="H398" s="236"/>
      <c r="I398" s="236">
        <v>5.69</v>
      </c>
      <c r="J398" s="235">
        <v>1</v>
      </c>
      <c r="K398" s="237"/>
      <c r="L398" s="237">
        <f t="shared" si="43"/>
        <v>2.8450000000000002</v>
      </c>
      <c r="M398" s="111"/>
      <c r="N398" s="111"/>
      <c r="O398" s="111"/>
      <c r="P398" s="111"/>
    </row>
    <row r="399" spans="3:16" x14ac:dyDescent="0.3">
      <c r="C399" s="114"/>
      <c r="D399" s="233" t="s">
        <v>812</v>
      </c>
      <c r="E399" s="234" t="s">
        <v>0</v>
      </c>
      <c r="F399" s="235">
        <v>1</v>
      </c>
      <c r="G399" s="236">
        <f>0.25+0.2</f>
        <v>0.45</v>
      </c>
      <c r="H399" s="236"/>
      <c r="I399" s="236">
        <v>3.7</v>
      </c>
      <c r="J399" s="235">
        <v>1</v>
      </c>
      <c r="K399" s="237"/>
      <c r="L399" s="237">
        <f t="shared" si="43"/>
        <v>1.665</v>
      </c>
      <c r="M399" s="111"/>
      <c r="N399" s="111"/>
      <c r="O399" s="111"/>
      <c r="P399" s="111"/>
    </row>
    <row r="400" spans="3:16" x14ac:dyDescent="0.3">
      <c r="C400" s="114"/>
      <c r="D400" s="233" t="s">
        <v>813</v>
      </c>
      <c r="E400" s="234" t="s">
        <v>0</v>
      </c>
      <c r="F400" s="235">
        <v>1</v>
      </c>
      <c r="G400" s="236">
        <f>0.25+0.2+0.2</f>
        <v>0.65</v>
      </c>
      <c r="H400" s="236"/>
      <c r="I400" s="236">
        <v>2.5</v>
      </c>
      <c r="J400" s="235">
        <v>1</v>
      </c>
      <c r="K400" s="237"/>
      <c r="L400" s="237">
        <f t="shared" si="43"/>
        <v>1.625</v>
      </c>
      <c r="M400" s="111"/>
      <c r="N400" s="111"/>
      <c r="O400" s="111"/>
      <c r="P400" s="111"/>
    </row>
    <row r="401" spans="3:16" x14ac:dyDescent="0.3">
      <c r="C401" s="114"/>
      <c r="D401" s="233" t="s">
        <v>814</v>
      </c>
      <c r="E401" s="234" t="s">
        <v>0</v>
      </c>
      <c r="F401" s="235">
        <v>1</v>
      </c>
      <c r="G401" s="236">
        <f>0.1+0.2</f>
        <v>0.30000000000000004</v>
      </c>
      <c r="H401" s="236"/>
      <c r="I401" s="236">
        <v>2.5</v>
      </c>
      <c r="J401" s="235">
        <v>1</v>
      </c>
      <c r="K401" s="237"/>
      <c r="L401" s="237">
        <f t="shared" si="43"/>
        <v>0.75000000000000011</v>
      </c>
      <c r="M401" s="111"/>
      <c r="N401" s="111"/>
      <c r="O401" s="111"/>
      <c r="P401" s="111"/>
    </row>
    <row r="402" spans="3:16" x14ac:dyDescent="0.3">
      <c r="C402" s="114"/>
      <c r="D402" s="233" t="s">
        <v>815</v>
      </c>
      <c r="E402" s="234" t="s">
        <v>0</v>
      </c>
      <c r="F402" s="235">
        <v>1</v>
      </c>
      <c r="G402" s="236">
        <f>0.25+0.2</f>
        <v>0.45</v>
      </c>
      <c r="H402" s="236"/>
      <c r="I402" s="236">
        <v>2.2000000000000002</v>
      </c>
      <c r="J402" s="235">
        <v>1</v>
      </c>
      <c r="K402" s="237"/>
      <c r="L402" s="237">
        <f t="shared" si="43"/>
        <v>0.9900000000000001</v>
      </c>
      <c r="M402" s="111"/>
      <c r="N402" s="111"/>
      <c r="O402" s="111"/>
      <c r="P402" s="111"/>
    </row>
    <row r="403" spans="3:16" x14ac:dyDescent="0.3">
      <c r="C403" s="114"/>
      <c r="D403" s="233" t="s">
        <v>816</v>
      </c>
      <c r="E403" s="234" t="s">
        <v>0</v>
      </c>
      <c r="F403" s="235">
        <v>1</v>
      </c>
      <c r="G403" s="236">
        <f>0.2</f>
        <v>0.2</v>
      </c>
      <c r="H403" s="236"/>
      <c r="I403" s="236">
        <v>1.66</v>
      </c>
      <c r="J403" s="235">
        <v>1</v>
      </c>
      <c r="K403" s="237"/>
      <c r="L403" s="237">
        <f t="shared" si="43"/>
        <v>0.33200000000000002</v>
      </c>
      <c r="M403" s="111"/>
      <c r="N403" s="111"/>
      <c r="O403" s="111"/>
      <c r="P403" s="111"/>
    </row>
    <row r="404" spans="3:16" x14ac:dyDescent="0.3">
      <c r="C404" s="114"/>
      <c r="D404" s="233" t="s">
        <v>817</v>
      </c>
      <c r="E404" s="234" t="s">
        <v>0</v>
      </c>
      <c r="F404" s="235">
        <v>1</v>
      </c>
      <c r="G404" s="236">
        <v>0.2</v>
      </c>
      <c r="H404" s="236"/>
      <c r="I404" s="236">
        <v>1.63</v>
      </c>
      <c r="J404" s="235">
        <v>1</v>
      </c>
      <c r="K404" s="237"/>
      <c r="L404" s="237">
        <f t="shared" si="43"/>
        <v>0.32600000000000001</v>
      </c>
      <c r="M404" s="111"/>
      <c r="N404" s="111"/>
      <c r="O404" s="111"/>
      <c r="P404" s="111"/>
    </row>
    <row r="405" spans="3:16" x14ac:dyDescent="0.3">
      <c r="C405" s="114"/>
      <c r="D405" s="115" t="s">
        <v>773</v>
      </c>
      <c r="E405" s="121"/>
      <c r="F405" s="3"/>
      <c r="G405" s="122" t="s">
        <v>198</v>
      </c>
      <c r="H405" s="122"/>
      <c r="I405" s="122"/>
      <c r="J405" s="3"/>
      <c r="K405" s="113"/>
      <c r="L405" s="113"/>
      <c r="M405" s="111"/>
      <c r="N405" s="111"/>
      <c r="O405" s="111"/>
      <c r="P405" s="111"/>
    </row>
    <row r="406" spans="3:16" x14ac:dyDescent="0.3">
      <c r="C406" s="114"/>
      <c r="D406" s="233" t="s">
        <v>774</v>
      </c>
      <c r="E406" s="234" t="s">
        <v>0</v>
      </c>
      <c r="F406" s="235">
        <v>1</v>
      </c>
      <c r="G406" s="236">
        <f>0.1+0.4</f>
        <v>0.5</v>
      </c>
      <c r="H406" s="236"/>
      <c r="I406" s="236">
        <v>3.29</v>
      </c>
      <c r="J406" s="235">
        <v>1</v>
      </c>
      <c r="K406" s="237"/>
      <c r="L406" s="237">
        <f t="shared" ref="L406:L465" si="44">IF(F406="","",PRODUCT(F406:J406))</f>
        <v>1.645</v>
      </c>
      <c r="M406" s="111"/>
      <c r="N406" s="111"/>
      <c r="O406" s="111"/>
      <c r="P406" s="111"/>
    </row>
    <row r="407" spans="3:16" x14ac:dyDescent="0.3">
      <c r="C407" s="114"/>
      <c r="D407" s="233" t="s">
        <v>717</v>
      </c>
      <c r="E407" s="234" t="s">
        <v>0</v>
      </c>
      <c r="F407" s="235">
        <v>1</v>
      </c>
      <c r="G407" s="236">
        <f>0.1+0.2</f>
        <v>0.30000000000000004</v>
      </c>
      <c r="H407" s="236"/>
      <c r="I407" s="236">
        <v>2.2000000000000002</v>
      </c>
      <c r="J407" s="235">
        <v>1</v>
      </c>
      <c r="K407" s="237"/>
      <c r="L407" s="237">
        <f t="shared" si="44"/>
        <v>0.66000000000000014</v>
      </c>
      <c r="M407" s="111"/>
      <c r="N407" s="111"/>
      <c r="O407" s="111"/>
      <c r="P407" s="111"/>
    </row>
    <row r="408" spans="3:16" x14ac:dyDescent="0.3">
      <c r="C408" s="114"/>
      <c r="D408" s="233" t="s">
        <v>775</v>
      </c>
      <c r="E408" s="234" t="s">
        <v>0</v>
      </c>
      <c r="F408" s="235">
        <v>1</v>
      </c>
      <c r="G408" s="236">
        <f>0.25+0.2</f>
        <v>0.45</v>
      </c>
      <c r="H408" s="236"/>
      <c r="I408" s="236">
        <f>2.83+1</f>
        <v>3.83</v>
      </c>
      <c r="J408" s="235">
        <v>1</v>
      </c>
      <c r="K408" s="237"/>
      <c r="L408" s="237">
        <f t="shared" si="44"/>
        <v>1.7235</v>
      </c>
      <c r="M408" s="111"/>
      <c r="N408" s="111"/>
      <c r="O408" s="111"/>
      <c r="P408" s="111"/>
    </row>
    <row r="409" spans="3:16" x14ac:dyDescent="0.3">
      <c r="C409" s="114"/>
      <c r="D409" s="233" t="s">
        <v>776</v>
      </c>
      <c r="E409" s="234" t="s">
        <v>0</v>
      </c>
      <c r="F409" s="235">
        <v>1</v>
      </c>
      <c r="G409" s="236">
        <f>0.25+0.2+0.2</f>
        <v>0.65</v>
      </c>
      <c r="H409" s="236"/>
      <c r="I409" s="236">
        <v>2.63</v>
      </c>
      <c r="J409" s="235">
        <v>1</v>
      </c>
      <c r="K409" s="237"/>
      <c r="L409" s="237">
        <f t="shared" si="44"/>
        <v>1.7095</v>
      </c>
      <c r="M409" s="111"/>
      <c r="N409" s="111"/>
      <c r="O409" s="111"/>
      <c r="P409" s="111"/>
    </row>
    <row r="410" spans="3:16" x14ac:dyDescent="0.3">
      <c r="C410" s="114"/>
      <c r="D410" s="233" t="s">
        <v>777</v>
      </c>
      <c r="E410" s="234" t="s">
        <v>0</v>
      </c>
      <c r="F410" s="235">
        <v>1</v>
      </c>
      <c r="G410" s="236">
        <f>0.25+0.2</f>
        <v>0.45</v>
      </c>
      <c r="H410" s="236"/>
      <c r="I410" s="236">
        <v>2.63</v>
      </c>
      <c r="J410" s="235">
        <v>1</v>
      </c>
      <c r="K410" s="237"/>
      <c r="L410" s="237">
        <f t="shared" si="44"/>
        <v>1.1835</v>
      </c>
      <c r="M410" s="111"/>
      <c r="N410" s="111"/>
      <c r="O410" s="111"/>
      <c r="P410" s="111"/>
    </row>
    <row r="411" spans="3:16" x14ac:dyDescent="0.3">
      <c r="C411" s="106"/>
      <c r="D411" s="233" t="s">
        <v>778</v>
      </c>
      <c r="E411" s="234" t="s">
        <v>0</v>
      </c>
      <c r="F411" s="235">
        <v>1</v>
      </c>
      <c r="G411" s="236">
        <f>0.2+0.15</f>
        <v>0.35</v>
      </c>
      <c r="H411" s="236"/>
      <c r="I411" s="236">
        <v>5.45</v>
      </c>
      <c r="J411" s="235">
        <v>1</v>
      </c>
      <c r="K411" s="237"/>
      <c r="L411" s="237">
        <f t="shared" si="44"/>
        <v>1.9075</v>
      </c>
      <c r="M411" s="113"/>
      <c r="N411" s="113"/>
      <c r="O411" s="113"/>
      <c r="P411" s="113"/>
    </row>
    <row r="412" spans="3:16" x14ac:dyDescent="0.3">
      <c r="C412" s="114"/>
      <c r="D412" s="233" t="s">
        <v>779</v>
      </c>
      <c r="E412" s="234" t="s">
        <v>0</v>
      </c>
      <c r="F412" s="235">
        <v>1</v>
      </c>
      <c r="G412" s="236">
        <f>0.25+0.2+0.2</f>
        <v>0.65</v>
      </c>
      <c r="H412" s="236"/>
      <c r="I412" s="236">
        <v>4.25</v>
      </c>
      <c r="J412" s="235">
        <v>1</v>
      </c>
      <c r="K412" s="237"/>
      <c r="L412" s="237">
        <f t="shared" si="44"/>
        <v>2.7625000000000002</v>
      </c>
      <c r="M412" s="111"/>
      <c r="N412" s="111"/>
      <c r="O412" s="111"/>
      <c r="P412" s="111"/>
    </row>
    <row r="413" spans="3:16" x14ac:dyDescent="0.3">
      <c r="C413" s="114"/>
      <c r="D413" s="233" t="s">
        <v>780</v>
      </c>
      <c r="E413" s="234" t="s">
        <v>0</v>
      </c>
      <c r="F413" s="235">
        <v>1</v>
      </c>
      <c r="G413" s="236">
        <f>0.1+0.2</f>
        <v>0.30000000000000004</v>
      </c>
      <c r="H413" s="236"/>
      <c r="I413" s="236">
        <v>4.25</v>
      </c>
      <c r="J413" s="235">
        <v>1</v>
      </c>
      <c r="K413" s="237"/>
      <c r="L413" s="237">
        <f t="shared" si="44"/>
        <v>1.2750000000000001</v>
      </c>
      <c r="M413" s="111"/>
      <c r="N413" s="111"/>
      <c r="O413" s="111"/>
      <c r="P413" s="111"/>
    </row>
    <row r="414" spans="3:16" x14ac:dyDescent="0.3">
      <c r="C414" s="114"/>
      <c r="D414" s="233" t="s">
        <v>781</v>
      </c>
      <c r="E414" s="234" t="s">
        <v>0</v>
      </c>
      <c r="F414" s="235">
        <v>1</v>
      </c>
      <c r="G414" s="236">
        <f>0.1+0.2+0.2</f>
        <v>0.5</v>
      </c>
      <c r="H414" s="236"/>
      <c r="I414" s="236">
        <v>2.2000000000000002</v>
      </c>
      <c r="J414" s="235">
        <v>1</v>
      </c>
      <c r="K414" s="237"/>
      <c r="L414" s="237">
        <f t="shared" si="44"/>
        <v>1.1000000000000001</v>
      </c>
      <c r="M414" s="111"/>
      <c r="N414" s="111"/>
      <c r="O414" s="111"/>
      <c r="P414" s="111"/>
    </row>
    <row r="415" spans="3:16" x14ac:dyDescent="0.3">
      <c r="C415" s="114"/>
      <c r="D415" s="233" t="s">
        <v>782</v>
      </c>
      <c r="E415" s="234" t="s">
        <v>0</v>
      </c>
      <c r="F415" s="235">
        <v>1</v>
      </c>
      <c r="G415" s="236">
        <f>0.1+0.2+0.2</f>
        <v>0.5</v>
      </c>
      <c r="H415" s="236"/>
      <c r="I415" s="236">
        <v>5.63</v>
      </c>
      <c r="J415" s="235">
        <v>1</v>
      </c>
      <c r="K415" s="237"/>
      <c r="L415" s="237">
        <f t="shared" si="44"/>
        <v>2.8149999999999999</v>
      </c>
      <c r="M415" s="111"/>
      <c r="N415" s="111"/>
      <c r="O415" s="111"/>
      <c r="P415" s="111"/>
    </row>
    <row r="416" spans="3:16" x14ac:dyDescent="0.3">
      <c r="C416" s="114"/>
      <c r="D416" s="233" t="s">
        <v>783</v>
      </c>
      <c r="E416" s="234" t="s">
        <v>0</v>
      </c>
      <c r="F416" s="235">
        <v>1</v>
      </c>
      <c r="G416" s="236">
        <f>0.25+0.2+0.2</f>
        <v>0.65</v>
      </c>
      <c r="H416" s="236"/>
      <c r="I416" s="236">
        <v>1.2</v>
      </c>
      <c r="J416" s="235">
        <v>1</v>
      </c>
      <c r="K416" s="237"/>
      <c r="L416" s="237">
        <f t="shared" si="44"/>
        <v>0.78</v>
      </c>
      <c r="M416" s="111"/>
      <c r="N416" s="111"/>
      <c r="O416" s="111"/>
      <c r="P416" s="111"/>
    </row>
    <row r="417" spans="3:16" x14ac:dyDescent="0.3">
      <c r="C417" s="114"/>
      <c r="D417" s="233"/>
      <c r="E417" s="234" t="s">
        <v>0</v>
      </c>
      <c r="F417" s="235">
        <v>1</v>
      </c>
      <c r="G417" s="236">
        <f>0.1+0.2+0.2</f>
        <v>0.5</v>
      </c>
      <c r="H417" s="236"/>
      <c r="I417" s="236">
        <v>1</v>
      </c>
      <c r="J417" s="235">
        <v>1</v>
      </c>
      <c r="K417" s="237"/>
      <c r="L417" s="237">
        <f t="shared" si="44"/>
        <v>0.5</v>
      </c>
      <c r="M417" s="111"/>
      <c r="N417" s="111"/>
      <c r="O417" s="111"/>
      <c r="P417" s="111"/>
    </row>
    <row r="418" spans="3:16" x14ac:dyDescent="0.3">
      <c r="C418" s="114"/>
      <c r="D418" s="233" t="s">
        <v>784</v>
      </c>
      <c r="E418" s="234" t="s">
        <v>0</v>
      </c>
      <c r="F418" s="235">
        <v>1</v>
      </c>
      <c r="G418" s="236">
        <f>0.1+0.2+0.2</f>
        <v>0.5</v>
      </c>
      <c r="H418" s="236"/>
      <c r="I418" s="236">
        <v>5.69</v>
      </c>
      <c r="J418" s="235">
        <v>1</v>
      </c>
      <c r="K418" s="237"/>
      <c r="L418" s="237">
        <f t="shared" si="44"/>
        <v>2.8450000000000002</v>
      </c>
      <c r="M418" s="111"/>
      <c r="N418" s="111"/>
      <c r="O418" s="111"/>
      <c r="P418" s="111"/>
    </row>
    <row r="419" spans="3:16" x14ac:dyDescent="0.3">
      <c r="C419" s="114"/>
      <c r="D419" s="233" t="s">
        <v>785</v>
      </c>
      <c r="E419" s="234" t="s">
        <v>0</v>
      </c>
      <c r="F419" s="235">
        <v>1</v>
      </c>
      <c r="G419" s="236">
        <f>0.25+0.2</f>
        <v>0.45</v>
      </c>
      <c r="H419" s="236"/>
      <c r="I419" s="236">
        <v>4.3499999999999996</v>
      </c>
      <c r="J419" s="235">
        <v>1</v>
      </c>
      <c r="K419" s="237"/>
      <c r="L419" s="237">
        <f t="shared" si="44"/>
        <v>1.9574999999999998</v>
      </c>
      <c r="M419" s="111"/>
      <c r="N419" s="111"/>
      <c r="O419" s="111"/>
      <c r="P419" s="111"/>
    </row>
    <row r="420" spans="3:16" x14ac:dyDescent="0.3">
      <c r="C420" s="114"/>
      <c r="D420" s="233" t="s">
        <v>786</v>
      </c>
      <c r="E420" s="234" t="s">
        <v>0</v>
      </c>
      <c r="F420" s="235">
        <v>1</v>
      </c>
      <c r="G420" s="236">
        <f>0.25+0.2+0.2</f>
        <v>0.65</v>
      </c>
      <c r="H420" s="236"/>
      <c r="I420" s="236">
        <v>3.84</v>
      </c>
      <c r="J420" s="235">
        <v>1</v>
      </c>
      <c r="K420" s="237"/>
      <c r="L420" s="237">
        <f t="shared" si="44"/>
        <v>2.496</v>
      </c>
      <c r="M420" s="111"/>
      <c r="N420" s="111"/>
      <c r="O420" s="111"/>
      <c r="P420" s="111"/>
    </row>
    <row r="421" spans="3:16" x14ac:dyDescent="0.3">
      <c r="C421" s="114"/>
      <c r="D421" s="233"/>
      <c r="E421" s="234" t="s">
        <v>0</v>
      </c>
      <c r="F421" s="235">
        <v>1</v>
      </c>
      <c r="G421" s="236">
        <f>0.1+0.2+0.2</f>
        <v>0.5</v>
      </c>
      <c r="H421" s="236"/>
      <c r="I421" s="236">
        <v>0.51</v>
      </c>
      <c r="J421" s="235">
        <v>1</v>
      </c>
      <c r="K421" s="237"/>
      <c r="L421" s="237">
        <f t="shared" si="44"/>
        <v>0.255</v>
      </c>
      <c r="M421" s="111"/>
      <c r="N421" s="111"/>
      <c r="O421" s="111"/>
      <c r="P421" s="111"/>
    </row>
    <row r="422" spans="3:16" x14ac:dyDescent="0.3">
      <c r="C422" s="114"/>
      <c r="D422" s="233" t="s">
        <v>787</v>
      </c>
      <c r="E422" s="234" t="s">
        <v>0</v>
      </c>
      <c r="F422" s="235">
        <v>1</v>
      </c>
      <c r="G422" s="236">
        <f>0.1+0.2</f>
        <v>0.30000000000000004</v>
      </c>
      <c r="H422" s="236"/>
      <c r="I422" s="236">
        <v>2.2999999999999998</v>
      </c>
      <c r="J422" s="235">
        <v>1</v>
      </c>
      <c r="K422" s="237"/>
      <c r="L422" s="237">
        <f t="shared" si="44"/>
        <v>0.69000000000000006</v>
      </c>
      <c r="M422" s="111"/>
      <c r="N422" s="111"/>
      <c r="O422" s="111"/>
      <c r="P422" s="111"/>
    </row>
    <row r="423" spans="3:16" x14ac:dyDescent="0.3">
      <c r="C423" s="114"/>
      <c r="D423" s="233"/>
      <c r="E423" s="234" t="s">
        <v>0</v>
      </c>
      <c r="F423" s="235">
        <v>1</v>
      </c>
      <c r="G423" s="236">
        <f>0.1+0.2</f>
        <v>0.30000000000000004</v>
      </c>
      <c r="H423" s="236"/>
      <c r="I423" s="236">
        <v>0.5</v>
      </c>
      <c r="J423" s="235">
        <v>1</v>
      </c>
      <c r="K423" s="237"/>
      <c r="L423" s="237">
        <f t="shared" si="44"/>
        <v>0.15000000000000002</v>
      </c>
      <c r="M423" s="111"/>
      <c r="N423" s="111"/>
      <c r="O423" s="111"/>
      <c r="P423" s="111"/>
    </row>
    <row r="424" spans="3:16" x14ac:dyDescent="0.3">
      <c r="C424" s="114"/>
      <c r="D424" s="233"/>
      <c r="E424" s="234" t="s">
        <v>0</v>
      </c>
      <c r="F424" s="235">
        <v>1</v>
      </c>
      <c r="G424" s="236">
        <f>0.25+0.2+0.2</f>
        <v>0.65</v>
      </c>
      <c r="H424" s="236"/>
      <c r="I424" s="236">
        <v>1.55</v>
      </c>
      <c r="J424" s="235">
        <v>1</v>
      </c>
      <c r="K424" s="237"/>
      <c r="L424" s="237">
        <f t="shared" si="44"/>
        <v>1.0075000000000001</v>
      </c>
      <c r="M424" s="111"/>
      <c r="N424" s="111"/>
      <c r="O424" s="111"/>
      <c r="P424" s="111"/>
    </row>
    <row r="425" spans="3:16" x14ac:dyDescent="0.3">
      <c r="C425" s="114"/>
      <c r="D425" s="233" t="s">
        <v>788</v>
      </c>
      <c r="E425" s="234" t="s">
        <v>0</v>
      </c>
      <c r="F425" s="235">
        <v>1</v>
      </c>
      <c r="G425" s="236">
        <f>0.25+0.2+0.2</f>
        <v>0.65</v>
      </c>
      <c r="H425" s="236"/>
      <c r="I425" s="236">
        <v>2.2000000000000002</v>
      </c>
      <c r="J425" s="235">
        <v>1</v>
      </c>
      <c r="K425" s="237"/>
      <c r="L425" s="237">
        <f t="shared" si="44"/>
        <v>1.4300000000000002</v>
      </c>
      <c r="M425" s="111"/>
      <c r="N425" s="111"/>
      <c r="O425" s="111"/>
      <c r="P425" s="111"/>
    </row>
    <row r="426" spans="3:16" x14ac:dyDescent="0.3">
      <c r="C426" s="114"/>
      <c r="D426" s="233" t="s">
        <v>789</v>
      </c>
      <c r="E426" s="234" t="s">
        <v>0</v>
      </c>
      <c r="F426" s="235">
        <v>1</v>
      </c>
      <c r="G426" s="236">
        <f>0.25+0.2+0.2</f>
        <v>0.65</v>
      </c>
      <c r="H426" s="236"/>
      <c r="I426" s="236">
        <v>5.69</v>
      </c>
      <c r="J426" s="235">
        <v>1</v>
      </c>
      <c r="K426" s="237"/>
      <c r="L426" s="237">
        <f t="shared" si="44"/>
        <v>3.6985000000000006</v>
      </c>
      <c r="M426" s="111"/>
      <c r="N426" s="111"/>
      <c r="O426" s="111"/>
      <c r="P426" s="111"/>
    </row>
    <row r="427" spans="3:16" x14ac:dyDescent="0.3">
      <c r="C427" s="114"/>
      <c r="D427" s="233" t="s">
        <v>790</v>
      </c>
      <c r="E427" s="234" t="s">
        <v>0</v>
      </c>
      <c r="F427" s="235">
        <v>1</v>
      </c>
      <c r="G427" s="236">
        <f>0.25+0.2</f>
        <v>0.45</v>
      </c>
      <c r="H427" s="236"/>
      <c r="I427" s="236">
        <v>3.81</v>
      </c>
      <c r="J427" s="235">
        <v>1</v>
      </c>
      <c r="K427" s="237"/>
      <c r="L427" s="237">
        <f t="shared" si="44"/>
        <v>1.7145000000000001</v>
      </c>
      <c r="M427" s="111"/>
      <c r="N427" s="111"/>
      <c r="O427" s="111"/>
      <c r="P427" s="111"/>
    </row>
    <row r="428" spans="3:16" x14ac:dyDescent="0.3">
      <c r="C428" s="114"/>
      <c r="D428" s="233" t="s">
        <v>791</v>
      </c>
      <c r="E428" s="234" t="s">
        <v>0</v>
      </c>
      <c r="F428" s="235">
        <v>1</v>
      </c>
      <c r="G428" s="236">
        <f>0.25+0.2+0.2</f>
        <v>0.65</v>
      </c>
      <c r="H428" s="236"/>
      <c r="I428" s="236">
        <v>3.81</v>
      </c>
      <c r="J428" s="235">
        <v>1</v>
      </c>
      <c r="K428" s="237"/>
      <c r="L428" s="237">
        <f t="shared" si="44"/>
        <v>2.4765000000000001</v>
      </c>
      <c r="M428" s="111"/>
      <c r="N428" s="111"/>
      <c r="O428" s="111"/>
      <c r="P428" s="111"/>
    </row>
    <row r="429" spans="3:16" x14ac:dyDescent="0.3">
      <c r="C429" s="114"/>
      <c r="D429" s="233" t="s">
        <v>792</v>
      </c>
      <c r="E429" s="234" t="s">
        <v>0</v>
      </c>
      <c r="F429" s="235">
        <v>1</v>
      </c>
      <c r="G429" s="236">
        <f>0.1+0.2</f>
        <v>0.30000000000000004</v>
      </c>
      <c r="H429" s="236"/>
      <c r="I429" s="236">
        <v>2.2999999999999998</v>
      </c>
      <c r="J429" s="235">
        <v>1</v>
      </c>
      <c r="K429" s="237"/>
      <c r="L429" s="237">
        <f t="shared" si="44"/>
        <v>0.69000000000000006</v>
      </c>
      <c r="M429" s="111"/>
      <c r="N429" s="111"/>
      <c r="O429" s="111"/>
      <c r="P429" s="111"/>
    </row>
    <row r="430" spans="3:16" x14ac:dyDescent="0.3">
      <c r="C430" s="114"/>
      <c r="D430" s="233"/>
      <c r="E430" s="234" t="s">
        <v>0</v>
      </c>
      <c r="F430" s="235">
        <v>1</v>
      </c>
      <c r="G430" s="236">
        <f>0.1+0.2</f>
        <v>0.30000000000000004</v>
      </c>
      <c r="H430" s="236"/>
      <c r="I430" s="236">
        <v>1.5</v>
      </c>
      <c r="J430" s="235">
        <v>1</v>
      </c>
      <c r="K430" s="237"/>
      <c r="L430" s="237">
        <f t="shared" si="44"/>
        <v>0.45000000000000007</v>
      </c>
      <c r="M430" s="111"/>
      <c r="N430" s="111"/>
      <c r="O430" s="111"/>
      <c r="P430" s="111"/>
    </row>
    <row r="431" spans="3:16" x14ac:dyDescent="0.3">
      <c r="C431" s="114"/>
      <c r="D431" s="233" t="s">
        <v>793</v>
      </c>
      <c r="E431" s="234" t="s">
        <v>0</v>
      </c>
      <c r="F431" s="235">
        <v>1</v>
      </c>
      <c r="G431" s="236">
        <f>0.25+0.2+0.2</f>
        <v>0.65</v>
      </c>
      <c r="H431" s="236"/>
      <c r="I431" s="236">
        <v>2.1</v>
      </c>
      <c r="J431" s="235">
        <v>1</v>
      </c>
      <c r="K431" s="237"/>
      <c r="L431" s="237">
        <f t="shared" si="44"/>
        <v>1.3650000000000002</v>
      </c>
      <c r="M431" s="111"/>
      <c r="N431" s="111"/>
      <c r="O431" s="111"/>
      <c r="P431" s="111"/>
    </row>
    <row r="432" spans="3:16" x14ac:dyDescent="0.3">
      <c r="C432" s="114"/>
      <c r="D432" s="233" t="s">
        <v>794</v>
      </c>
      <c r="E432" s="234" t="s">
        <v>0</v>
      </c>
      <c r="F432" s="235">
        <v>1</v>
      </c>
      <c r="G432" s="236">
        <f>0.25+0.2+0.2</f>
        <v>0.65</v>
      </c>
      <c r="H432" s="236"/>
      <c r="I432" s="236">
        <v>5.69</v>
      </c>
      <c r="J432" s="235">
        <v>1</v>
      </c>
      <c r="K432" s="237"/>
      <c r="L432" s="237">
        <f t="shared" si="44"/>
        <v>3.6985000000000006</v>
      </c>
      <c r="M432" s="111"/>
      <c r="N432" s="111"/>
      <c r="O432" s="111"/>
      <c r="P432" s="111"/>
    </row>
    <row r="433" spans="3:16" x14ac:dyDescent="0.3">
      <c r="C433" s="114"/>
      <c r="D433" s="233" t="s">
        <v>795</v>
      </c>
      <c r="E433" s="234" t="s">
        <v>0</v>
      </c>
      <c r="F433" s="235">
        <v>1</v>
      </c>
      <c r="G433" s="236">
        <f>0.25+0.2</f>
        <v>0.45</v>
      </c>
      <c r="H433" s="236"/>
      <c r="I433" s="236">
        <v>4.34</v>
      </c>
      <c r="J433" s="235">
        <v>1</v>
      </c>
      <c r="K433" s="237"/>
      <c r="L433" s="237">
        <f t="shared" si="44"/>
        <v>1.9530000000000001</v>
      </c>
      <c r="M433" s="111"/>
      <c r="N433" s="111"/>
      <c r="O433" s="111"/>
      <c r="P433" s="111"/>
    </row>
    <row r="434" spans="3:16" x14ac:dyDescent="0.3">
      <c r="C434" s="114"/>
      <c r="D434" s="233" t="s">
        <v>796</v>
      </c>
      <c r="E434" s="234" t="s">
        <v>0</v>
      </c>
      <c r="F434" s="235">
        <v>1</v>
      </c>
      <c r="G434" s="236">
        <f>0.1+0.2+0.2</f>
        <v>0.5</v>
      </c>
      <c r="H434" s="236"/>
      <c r="I434" s="236">
        <v>1.47</v>
      </c>
      <c r="J434" s="235">
        <v>1</v>
      </c>
      <c r="K434" s="237"/>
      <c r="L434" s="237">
        <f t="shared" si="44"/>
        <v>0.73499999999999999</v>
      </c>
      <c r="M434" s="111"/>
      <c r="N434" s="111"/>
      <c r="O434" s="111"/>
      <c r="P434" s="111"/>
    </row>
    <row r="435" spans="3:16" x14ac:dyDescent="0.3">
      <c r="C435" s="114"/>
      <c r="D435" s="233"/>
      <c r="E435" s="234" t="s">
        <v>0</v>
      </c>
      <c r="F435" s="235">
        <v>1</v>
      </c>
      <c r="G435" s="236">
        <f>0.25+0.2+0.2</f>
        <v>0.65</v>
      </c>
      <c r="H435" s="236"/>
      <c r="I435" s="236">
        <v>2.87</v>
      </c>
      <c r="J435" s="235">
        <v>1</v>
      </c>
      <c r="K435" s="237"/>
      <c r="L435" s="237">
        <f t="shared" si="44"/>
        <v>1.8655000000000002</v>
      </c>
      <c r="M435" s="111"/>
      <c r="N435" s="111"/>
      <c r="O435" s="111"/>
      <c r="P435" s="111"/>
    </row>
    <row r="436" spans="3:16" x14ac:dyDescent="0.3">
      <c r="C436" s="114"/>
      <c r="D436" s="233" t="s">
        <v>797</v>
      </c>
      <c r="E436" s="234" t="s">
        <v>0</v>
      </c>
      <c r="F436" s="235">
        <v>1</v>
      </c>
      <c r="G436" s="236">
        <f>0.1+0.2</f>
        <v>0.30000000000000004</v>
      </c>
      <c r="H436" s="236"/>
      <c r="I436" s="236">
        <v>1.47</v>
      </c>
      <c r="J436" s="235">
        <v>1</v>
      </c>
      <c r="K436" s="237"/>
      <c r="L436" s="237">
        <f t="shared" si="44"/>
        <v>0.44100000000000006</v>
      </c>
      <c r="M436" s="111"/>
      <c r="N436" s="111"/>
      <c r="O436" s="111"/>
      <c r="P436" s="111"/>
    </row>
    <row r="437" spans="3:16" x14ac:dyDescent="0.3">
      <c r="C437" s="114"/>
      <c r="D437" s="280"/>
      <c r="E437" s="234" t="s">
        <v>0</v>
      </c>
      <c r="F437" s="235">
        <v>1</v>
      </c>
      <c r="G437" s="236">
        <f>0.1+0.2</f>
        <v>0.30000000000000004</v>
      </c>
      <c r="H437" s="236"/>
      <c r="I437" s="236">
        <v>1.33</v>
      </c>
      <c r="J437" s="235">
        <v>1</v>
      </c>
      <c r="K437" s="237"/>
      <c r="L437" s="237">
        <f t="shared" si="44"/>
        <v>0.39900000000000008</v>
      </c>
      <c r="M437" s="111"/>
      <c r="N437" s="111"/>
      <c r="O437" s="111"/>
      <c r="P437" s="111"/>
    </row>
    <row r="438" spans="3:16" x14ac:dyDescent="0.3">
      <c r="C438" s="114"/>
      <c r="D438" s="280"/>
      <c r="E438" s="234" t="s">
        <v>0</v>
      </c>
      <c r="F438" s="235">
        <v>1</v>
      </c>
      <c r="G438" s="236">
        <f>0.25+0.2</f>
        <v>0.45</v>
      </c>
      <c r="H438" s="236"/>
      <c r="I438" s="236">
        <v>1.56</v>
      </c>
      <c r="J438" s="235">
        <v>1</v>
      </c>
      <c r="K438" s="237"/>
      <c r="L438" s="237">
        <f t="shared" si="44"/>
        <v>0.70200000000000007</v>
      </c>
      <c r="M438" s="111"/>
      <c r="N438" s="111"/>
      <c r="O438" s="111"/>
      <c r="P438" s="111"/>
    </row>
    <row r="439" spans="3:16" x14ac:dyDescent="0.3">
      <c r="C439" s="114"/>
      <c r="D439" s="233" t="s">
        <v>798</v>
      </c>
      <c r="E439" s="234" t="s">
        <v>0</v>
      </c>
      <c r="F439" s="235">
        <v>1</v>
      </c>
      <c r="G439" s="236">
        <f>0.25+0.2+0.2</f>
        <v>0.65</v>
      </c>
      <c r="H439" s="236"/>
      <c r="I439" s="236">
        <v>2.1</v>
      </c>
      <c r="J439" s="235">
        <v>1</v>
      </c>
      <c r="K439" s="237"/>
      <c r="L439" s="237">
        <f t="shared" si="44"/>
        <v>1.3650000000000002</v>
      </c>
      <c r="M439" s="111"/>
      <c r="N439" s="111"/>
      <c r="O439" s="111"/>
      <c r="P439" s="111"/>
    </row>
    <row r="440" spans="3:16" x14ac:dyDescent="0.3">
      <c r="C440" s="114"/>
      <c r="D440" s="233" t="s">
        <v>799</v>
      </c>
      <c r="E440" s="234" t="s">
        <v>0</v>
      </c>
      <c r="F440" s="235">
        <v>1</v>
      </c>
      <c r="G440" s="236">
        <f>0.25+0.2+0.2</f>
        <v>0.65</v>
      </c>
      <c r="H440" s="236"/>
      <c r="I440" s="236">
        <v>1.2</v>
      </c>
      <c r="J440" s="235">
        <v>1</v>
      </c>
      <c r="K440" s="237"/>
      <c r="L440" s="237">
        <f t="shared" si="44"/>
        <v>0.78</v>
      </c>
      <c r="M440" s="111"/>
      <c r="N440" s="111"/>
      <c r="O440" s="111"/>
      <c r="P440" s="111"/>
    </row>
    <row r="441" spans="3:16" x14ac:dyDescent="0.3">
      <c r="C441" s="114"/>
      <c r="D441" s="233"/>
      <c r="E441" s="234" t="s">
        <v>0</v>
      </c>
      <c r="F441" s="235">
        <v>1</v>
      </c>
      <c r="G441" s="236">
        <f>0.1+0.2+0.2</f>
        <v>0.5</v>
      </c>
      <c r="H441" s="236"/>
      <c r="I441" s="236">
        <v>4.49</v>
      </c>
      <c r="J441" s="235">
        <v>1</v>
      </c>
      <c r="K441" s="237"/>
      <c r="L441" s="237">
        <f t="shared" si="44"/>
        <v>2.2450000000000001</v>
      </c>
      <c r="M441" s="111"/>
      <c r="N441" s="111"/>
      <c r="O441" s="111"/>
      <c r="P441" s="111"/>
    </row>
    <row r="442" spans="3:16" x14ac:dyDescent="0.3">
      <c r="C442" s="114"/>
      <c r="D442" s="233" t="s">
        <v>800</v>
      </c>
      <c r="E442" s="234" t="s">
        <v>0</v>
      </c>
      <c r="F442" s="235">
        <v>1</v>
      </c>
      <c r="G442" s="236">
        <f>0.25+0.2</f>
        <v>0.45</v>
      </c>
      <c r="H442" s="236"/>
      <c r="I442" s="236">
        <v>3.78</v>
      </c>
      <c r="J442" s="235">
        <v>1</v>
      </c>
      <c r="K442" s="237"/>
      <c r="L442" s="237">
        <f t="shared" si="44"/>
        <v>1.7009999999999998</v>
      </c>
      <c r="M442" s="111"/>
      <c r="N442" s="111"/>
      <c r="O442" s="111"/>
      <c r="P442" s="111"/>
    </row>
    <row r="443" spans="3:16" x14ac:dyDescent="0.3">
      <c r="C443" s="114"/>
      <c r="D443" s="233" t="s">
        <v>801</v>
      </c>
      <c r="E443" s="234" t="s">
        <v>0</v>
      </c>
      <c r="F443" s="235">
        <v>1</v>
      </c>
      <c r="G443" s="236">
        <f>0.25+0.2+0.2</f>
        <v>0.65</v>
      </c>
      <c r="H443" s="236"/>
      <c r="I443" s="236">
        <f>1.5+2.28</f>
        <v>3.78</v>
      </c>
      <c r="J443" s="235">
        <v>1</v>
      </c>
      <c r="K443" s="237"/>
      <c r="L443" s="237">
        <f t="shared" si="44"/>
        <v>2.4569999999999999</v>
      </c>
      <c r="M443" s="111"/>
      <c r="N443" s="111"/>
      <c r="O443" s="111"/>
      <c r="P443" s="111"/>
    </row>
    <row r="444" spans="3:16" x14ac:dyDescent="0.3">
      <c r="C444" s="114"/>
      <c r="D444" s="233" t="s">
        <v>802</v>
      </c>
      <c r="E444" s="234" t="s">
        <v>0</v>
      </c>
      <c r="F444" s="235">
        <v>1</v>
      </c>
      <c r="G444" s="236">
        <f>0.1+0.2</f>
        <v>0.30000000000000004</v>
      </c>
      <c r="H444" s="236"/>
      <c r="I444" s="236">
        <v>2.2799999999999998</v>
      </c>
      <c r="J444" s="235">
        <v>1</v>
      </c>
      <c r="K444" s="237"/>
      <c r="L444" s="237">
        <f t="shared" si="44"/>
        <v>0.68400000000000005</v>
      </c>
      <c r="M444" s="111"/>
      <c r="N444" s="111"/>
      <c r="O444" s="111"/>
      <c r="P444" s="111"/>
    </row>
    <row r="445" spans="3:16" x14ac:dyDescent="0.3">
      <c r="C445" s="114"/>
      <c r="D445" s="280"/>
      <c r="E445" s="234" t="s">
        <v>0</v>
      </c>
      <c r="F445" s="235">
        <v>1</v>
      </c>
      <c r="G445" s="236">
        <f>0.25+0.2</f>
        <v>0.45</v>
      </c>
      <c r="H445" s="236"/>
      <c r="I445" s="236">
        <v>1.5</v>
      </c>
      <c r="J445" s="235">
        <v>1</v>
      </c>
      <c r="K445" s="237"/>
      <c r="L445" s="237">
        <f t="shared" si="44"/>
        <v>0.67500000000000004</v>
      </c>
      <c r="M445" s="111"/>
      <c r="N445" s="111"/>
      <c r="O445" s="111"/>
      <c r="P445" s="111"/>
    </row>
    <row r="446" spans="3:16" x14ac:dyDescent="0.3">
      <c r="C446" s="114"/>
      <c r="D446" s="233" t="s">
        <v>803</v>
      </c>
      <c r="E446" s="234" t="s">
        <v>0</v>
      </c>
      <c r="F446" s="235">
        <v>1</v>
      </c>
      <c r="G446" s="236">
        <f>0.25+0.2+0.2</f>
        <v>0.65</v>
      </c>
      <c r="H446" s="236"/>
      <c r="I446" s="236">
        <v>2.2000000000000002</v>
      </c>
      <c r="J446" s="235">
        <v>1</v>
      </c>
      <c r="K446" s="237"/>
      <c r="L446" s="237">
        <f t="shared" si="44"/>
        <v>1.4300000000000002</v>
      </c>
      <c r="M446" s="111"/>
      <c r="N446" s="111"/>
      <c r="O446" s="111"/>
      <c r="P446" s="111"/>
    </row>
    <row r="447" spans="3:16" x14ac:dyDescent="0.3">
      <c r="C447" s="114"/>
      <c r="D447" s="233" t="s">
        <v>804</v>
      </c>
      <c r="E447" s="234" t="s">
        <v>0</v>
      </c>
      <c r="F447" s="235">
        <v>1</v>
      </c>
      <c r="G447" s="236">
        <f>0.25+0.2+0.2</f>
        <v>0.65</v>
      </c>
      <c r="H447" s="236"/>
      <c r="I447" s="236">
        <v>5.69</v>
      </c>
      <c r="J447" s="235">
        <v>1</v>
      </c>
      <c r="K447" s="237"/>
      <c r="L447" s="237">
        <f t="shared" si="44"/>
        <v>3.6985000000000006</v>
      </c>
      <c r="M447" s="111"/>
      <c r="N447" s="111"/>
      <c r="O447" s="111"/>
      <c r="P447" s="111"/>
    </row>
    <row r="448" spans="3:16" x14ac:dyDescent="0.3">
      <c r="C448" s="114"/>
      <c r="D448" s="233" t="s">
        <v>805</v>
      </c>
      <c r="E448" s="234" t="s">
        <v>0</v>
      </c>
      <c r="F448" s="235">
        <v>1</v>
      </c>
      <c r="G448" s="236">
        <f>0.25+0.2</f>
        <v>0.45</v>
      </c>
      <c r="H448" s="236"/>
      <c r="I448" s="236">
        <v>4.3600000000000003</v>
      </c>
      <c r="J448" s="235">
        <v>1</v>
      </c>
      <c r="K448" s="237"/>
      <c r="L448" s="237">
        <f t="shared" si="44"/>
        <v>1.9620000000000002</v>
      </c>
      <c r="M448" s="111"/>
      <c r="N448" s="111"/>
      <c r="O448" s="111"/>
      <c r="P448" s="111"/>
    </row>
    <row r="449" spans="3:16" x14ac:dyDescent="0.3">
      <c r="C449" s="114"/>
      <c r="D449" s="233" t="s">
        <v>806</v>
      </c>
      <c r="E449" s="234" t="s">
        <v>0</v>
      </c>
      <c r="F449" s="235">
        <v>1</v>
      </c>
      <c r="G449" s="236">
        <f>0.25+0.2+0.2</f>
        <v>0.65</v>
      </c>
      <c r="H449" s="236"/>
      <c r="I449" s="236">
        <f>1.63+1.53</f>
        <v>3.16</v>
      </c>
      <c r="J449" s="235">
        <v>1</v>
      </c>
      <c r="K449" s="237"/>
      <c r="L449" s="237">
        <f t="shared" si="44"/>
        <v>2.0540000000000003</v>
      </c>
      <c r="M449" s="111"/>
      <c r="N449" s="111"/>
      <c r="O449" s="111"/>
      <c r="P449" s="111"/>
    </row>
    <row r="450" spans="3:16" x14ac:dyDescent="0.3">
      <c r="C450" s="114"/>
      <c r="D450" s="233" t="s">
        <v>807</v>
      </c>
      <c r="E450" s="234" t="s">
        <v>0</v>
      </c>
      <c r="F450" s="235">
        <v>1</v>
      </c>
      <c r="G450" s="236">
        <f>0.1+0.2</f>
        <v>0.30000000000000004</v>
      </c>
      <c r="H450" s="236"/>
      <c r="I450" s="236">
        <v>1.63</v>
      </c>
      <c r="J450" s="235">
        <v>1</v>
      </c>
      <c r="K450" s="237"/>
      <c r="L450" s="237">
        <f t="shared" si="44"/>
        <v>0.48900000000000005</v>
      </c>
      <c r="M450" s="111"/>
      <c r="N450" s="111"/>
      <c r="O450" s="111"/>
      <c r="P450" s="111"/>
    </row>
    <row r="451" spans="3:16" x14ac:dyDescent="0.3">
      <c r="C451" s="114"/>
      <c r="D451" s="280"/>
      <c r="E451" s="234" t="s">
        <v>0</v>
      </c>
      <c r="F451" s="235">
        <v>1</v>
      </c>
      <c r="G451" s="236">
        <f>0.25+0.2</f>
        <v>0.45</v>
      </c>
      <c r="H451" s="236"/>
      <c r="I451" s="236">
        <v>1.53</v>
      </c>
      <c r="J451" s="235">
        <v>1</v>
      </c>
      <c r="K451" s="237"/>
      <c r="L451" s="237">
        <f t="shared" si="44"/>
        <v>0.6885</v>
      </c>
      <c r="M451" s="111"/>
      <c r="N451" s="111"/>
      <c r="O451" s="111"/>
      <c r="P451" s="111"/>
    </row>
    <row r="452" spans="3:16" x14ac:dyDescent="0.3">
      <c r="C452" s="114"/>
      <c r="D452" s="233" t="s">
        <v>808</v>
      </c>
      <c r="E452" s="234" t="s">
        <v>0</v>
      </c>
      <c r="F452" s="235">
        <v>1</v>
      </c>
      <c r="G452" s="236">
        <f>0.25+0.2+0.2</f>
        <v>0.65</v>
      </c>
      <c r="H452" s="236"/>
      <c r="I452" s="236">
        <v>2.2000000000000002</v>
      </c>
      <c r="J452" s="235">
        <v>1</v>
      </c>
      <c r="K452" s="237"/>
      <c r="L452" s="237">
        <f t="shared" si="44"/>
        <v>1.4300000000000002</v>
      </c>
      <c r="M452" s="111"/>
      <c r="N452" s="111"/>
      <c r="O452" s="111"/>
      <c r="P452" s="111"/>
    </row>
    <row r="453" spans="3:16" x14ac:dyDescent="0.3">
      <c r="C453" s="114"/>
      <c r="D453" s="233" t="s">
        <v>809</v>
      </c>
      <c r="E453" s="234" t="s">
        <v>0</v>
      </c>
      <c r="F453" s="235">
        <v>1</v>
      </c>
      <c r="G453" s="236">
        <f>0.25+0.2+0.2</f>
        <v>0.65</v>
      </c>
      <c r="H453" s="236"/>
      <c r="I453" s="236">
        <v>5.69</v>
      </c>
      <c r="J453" s="235">
        <v>1</v>
      </c>
      <c r="K453" s="237"/>
      <c r="L453" s="237">
        <f t="shared" si="44"/>
        <v>3.6985000000000006</v>
      </c>
      <c r="M453" s="111"/>
      <c r="N453" s="111"/>
      <c r="O453" s="111"/>
      <c r="P453" s="111"/>
    </row>
    <row r="454" spans="3:16" x14ac:dyDescent="0.3">
      <c r="C454" s="114"/>
      <c r="D454" s="233" t="s">
        <v>805</v>
      </c>
      <c r="E454" s="234" t="s">
        <v>0</v>
      </c>
      <c r="F454" s="235">
        <v>1</v>
      </c>
      <c r="G454" s="236">
        <f>0.25+0.2</f>
        <v>0.45</v>
      </c>
      <c r="H454" s="236"/>
      <c r="I454" s="236">
        <v>3.81</v>
      </c>
      <c r="J454" s="235">
        <v>1</v>
      </c>
      <c r="K454" s="237"/>
      <c r="L454" s="237">
        <f t="shared" si="44"/>
        <v>1.7145000000000001</v>
      </c>
      <c r="M454" s="111"/>
      <c r="N454" s="111"/>
      <c r="O454" s="111"/>
      <c r="P454" s="111"/>
    </row>
    <row r="455" spans="3:16" x14ac:dyDescent="0.3">
      <c r="C455" s="114"/>
      <c r="D455" s="233" t="s">
        <v>806</v>
      </c>
      <c r="E455" s="234" t="s">
        <v>0</v>
      </c>
      <c r="F455" s="235">
        <v>1</v>
      </c>
      <c r="G455" s="236">
        <f>0.25+0.2+0.2</f>
        <v>0.65</v>
      </c>
      <c r="H455" s="236"/>
      <c r="I455" s="236">
        <f>2.3+1.5</f>
        <v>3.8</v>
      </c>
      <c r="J455" s="235">
        <v>1</v>
      </c>
      <c r="K455" s="237"/>
      <c r="L455" s="237">
        <f t="shared" si="44"/>
        <v>2.4699999999999998</v>
      </c>
      <c r="M455" s="111"/>
      <c r="N455" s="111"/>
      <c r="O455" s="111"/>
      <c r="P455" s="111"/>
    </row>
    <row r="456" spans="3:16" x14ac:dyDescent="0.3">
      <c r="C456" s="114"/>
      <c r="D456" s="233" t="s">
        <v>807</v>
      </c>
      <c r="E456" s="234" t="s">
        <v>0</v>
      </c>
      <c r="F456" s="235">
        <v>1</v>
      </c>
      <c r="G456" s="236">
        <f>0.1+0.2</f>
        <v>0.30000000000000004</v>
      </c>
      <c r="H456" s="236"/>
      <c r="I456" s="236">
        <v>2.2999999999999998</v>
      </c>
      <c r="J456" s="235">
        <v>1</v>
      </c>
      <c r="K456" s="237"/>
      <c r="L456" s="237">
        <f t="shared" si="44"/>
        <v>0.69000000000000006</v>
      </c>
      <c r="M456" s="111"/>
      <c r="N456" s="111"/>
      <c r="O456" s="111"/>
      <c r="P456" s="111"/>
    </row>
    <row r="457" spans="3:16" x14ac:dyDescent="0.3">
      <c r="C457" s="114"/>
      <c r="D457" s="280"/>
      <c r="E457" s="234" t="s">
        <v>0</v>
      </c>
      <c r="F457" s="235">
        <v>1</v>
      </c>
      <c r="G457" s="236">
        <f>0.25+0.2</f>
        <v>0.45</v>
      </c>
      <c r="H457" s="236"/>
      <c r="I457" s="236">
        <v>1.5</v>
      </c>
      <c r="J457" s="235">
        <v>1</v>
      </c>
      <c r="K457" s="237"/>
      <c r="L457" s="237">
        <f t="shared" si="44"/>
        <v>0.67500000000000004</v>
      </c>
      <c r="M457" s="111"/>
      <c r="N457" s="111"/>
      <c r="O457" s="111"/>
      <c r="P457" s="111"/>
    </row>
    <row r="458" spans="3:16" x14ac:dyDescent="0.3">
      <c r="C458" s="114"/>
      <c r="D458" s="233" t="s">
        <v>810</v>
      </c>
      <c r="E458" s="234" t="s">
        <v>0</v>
      </c>
      <c r="F458" s="235">
        <v>1</v>
      </c>
      <c r="G458" s="236">
        <f>0.25+0.2+0.2</f>
        <v>0.65</v>
      </c>
      <c r="H458" s="236"/>
      <c r="I458" s="236">
        <v>2.2000000000000002</v>
      </c>
      <c r="J458" s="235">
        <v>1</v>
      </c>
      <c r="K458" s="237"/>
      <c r="L458" s="237">
        <f t="shared" si="44"/>
        <v>1.4300000000000002</v>
      </c>
      <c r="M458" s="111"/>
      <c r="N458" s="111"/>
      <c r="O458" s="111"/>
      <c r="P458" s="111"/>
    </row>
    <row r="459" spans="3:16" x14ac:dyDescent="0.3">
      <c r="C459" s="114"/>
      <c r="D459" s="233" t="s">
        <v>811</v>
      </c>
      <c r="E459" s="234" t="s">
        <v>0</v>
      </c>
      <c r="F459" s="235">
        <v>1</v>
      </c>
      <c r="G459" s="236">
        <f>0.1+0.2+0.2</f>
        <v>0.5</v>
      </c>
      <c r="H459" s="236"/>
      <c r="I459" s="236">
        <v>5.69</v>
      </c>
      <c r="J459" s="235">
        <v>1</v>
      </c>
      <c r="K459" s="237"/>
      <c r="L459" s="237">
        <f t="shared" si="44"/>
        <v>2.8450000000000002</v>
      </c>
      <c r="M459" s="111"/>
      <c r="N459" s="111"/>
      <c r="O459" s="111"/>
      <c r="P459" s="111"/>
    </row>
    <row r="460" spans="3:16" ht="14.4" x14ac:dyDescent="0.3">
      <c r="C460"/>
      <c r="D460" s="233" t="s">
        <v>812</v>
      </c>
      <c r="E460" s="234" t="s">
        <v>0</v>
      </c>
      <c r="F460" s="235">
        <v>1</v>
      </c>
      <c r="G460" s="236">
        <f>0.25+0.2</f>
        <v>0.45</v>
      </c>
      <c r="H460" s="236"/>
      <c r="I460" s="236">
        <v>3.7</v>
      </c>
      <c r="J460" s="235">
        <v>1</v>
      </c>
      <c r="K460" s="237"/>
      <c r="L460" s="237">
        <f t="shared" si="44"/>
        <v>1.665</v>
      </c>
      <c r="M460"/>
      <c r="N460"/>
      <c r="O460"/>
      <c r="P460"/>
    </row>
    <row r="461" spans="3:16" ht="14.4" x14ac:dyDescent="0.3">
      <c r="C461"/>
      <c r="D461" s="233" t="s">
        <v>813</v>
      </c>
      <c r="E461" s="234" t="s">
        <v>0</v>
      </c>
      <c r="F461" s="235">
        <v>1</v>
      </c>
      <c r="G461" s="236">
        <f>0.25+0.2+0.2</f>
        <v>0.65</v>
      </c>
      <c r="H461" s="236"/>
      <c r="I461" s="236">
        <v>2.5</v>
      </c>
      <c r="J461" s="235">
        <v>1</v>
      </c>
      <c r="K461" s="237"/>
      <c r="L461" s="237">
        <f t="shared" si="44"/>
        <v>1.625</v>
      </c>
      <c r="M461"/>
      <c r="N461"/>
      <c r="O461"/>
      <c r="P461"/>
    </row>
    <row r="462" spans="3:16" ht="14.4" x14ac:dyDescent="0.3">
      <c r="C462"/>
      <c r="D462" s="233" t="s">
        <v>814</v>
      </c>
      <c r="E462" s="234" t="s">
        <v>0</v>
      </c>
      <c r="F462" s="235">
        <v>1</v>
      </c>
      <c r="G462" s="236">
        <f>0.1+0.2</f>
        <v>0.30000000000000004</v>
      </c>
      <c r="H462" s="236"/>
      <c r="I462" s="236">
        <v>2.5</v>
      </c>
      <c r="J462" s="235">
        <v>1</v>
      </c>
      <c r="K462" s="237"/>
      <c r="L462" s="237">
        <f t="shared" si="44"/>
        <v>0.75000000000000011</v>
      </c>
      <c r="M462"/>
      <c r="N462"/>
      <c r="O462"/>
      <c r="P462"/>
    </row>
    <row r="463" spans="3:16" ht="14.4" x14ac:dyDescent="0.3">
      <c r="C463"/>
      <c r="D463" s="233" t="s">
        <v>815</v>
      </c>
      <c r="E463" s="234" t="s">
        <v>0</v>
      </c>
      <c r="F463" s="235">
        <v>1</v>
      </c>
      <c r="G463" s="236">
        <f>0.25+0.2</f>
        <v>0.45</v>
      </c>
      <c r="H463" s="236"/>
      <c r="I463" s="236">
        <v>2.2000000000000002</v>
      </c>
      <c r="J463" s="235">
        <v>1</v>
      </c>
      <c r="K463" s="237"/>
      <c r="L463" s="237">
        <f t="shared" si="44"/>
        <v>0.9900000000000001</v>
      </c>
      <c r="M463"/>
      <c r="N463"/>
      <c r="O463"/>
      <c r="P463"/>
    </row>
    <row r="464" spans="3:16" ht="14.4" x14ac:dyDescent="0.3">
      <c r="C464"/>
      <c r="D464" s="233" t="s">
        <v>816</v>
      </c>
      <c r="E464" s="234" t="s">
        <v>0</v>
      </c>
      <c r="F464" s="235">
        <v>1</v>
      </c>
      <c r="G464" s="236">
        <f>0.2</f>
        <v>0.2</v>
      </c>
      <c r="H464" s="236"/>
      <c r="I464" s="236">
        <v>1.66</v>
      </c>
      <c r="J464" s="235">
        <v>1</v>
      </c>
      <c r="K464" s="237"/>
      <c r="L464" s="237">
        <f t="shared" si="44"/>
        <v>0.33200000000000002</v>
      </c>
      <c r="M464"/>
      <c r="N464"/>
      <c r="O464"/>
      <c r="P464"/>
    </row>
    <row r="465" spans="3:16" ht="14.4" x14ac:dyDescent="0.3">
      <c r="C465"/>
      <c r="D465" s="233" t="s">
        <v>817</v>
      </c>
      <c r="E465" s="234" t="s">
        <v>0</v>
      </c>
      <c r="F465" s="235">
        <v>1</v>
      </c>
      <c r="G465" s="236">
        <v>0.2</v>
      </c>
      <c r="H465" s="236"/>
      <c r="I465" s="236">
        <v>1.63</v>
      </c>
      <c r="J465" s="235">
        <v>1</v>
      </c>
      <c r="K465" s="237"/>
      <c r="L465" s="237">
        <f t="shared" si="44"/>
        <v>0.32600000000000001</v>
      </c>
      <c r="M465"/>
      <c r="N465"/>
      <c r="O465"/>
      <c r="P465"/>
    </row>
    <row r="466" spans="3:16" ht="14.4" x14ac:dyDescent="0.3"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3:16" x14ac:dyDescent="0.3">
      <c r="C467" s="99" t="s">
        <v>1184</v>
      </c>
      <c r="D467" s="226" t="s">
        <v>653</v>
      </c>
      <c r="E467" s="132" t="s">
        <v>126</v>
      </c>
      <c r="F467" s="1"/>
      <c r="G467" s="2"/>
      <c r="H467" s="2"/>
      <c r="I467" s="206"/>
      <c r="J467" s="102"/>
      <c r="K467" s="103"/>
      <c r="L467" s="103"/>
      <c r="M467" s="103"/>
      <c r="N467" s="103"/>
      <c r="O467" s="103"/>
      <c r="P467" s="103">
        <f>SUM(K468:K528)</f>
        <v>466.41999999999996</v>
      </c>
    </row>
    <row r="468" spans="3:16" x14ac:dyDescent="0.3">
      <c r="C468" s="118"/>
      <c r="D468" s="253" t="s">
        <v>127</v>
      </c>
      <c r="E468" s="260"/>
      <c r="F468" s="255"/>
      <c r="G468" s="256"/>
      <c r="H468" s="256"/>
      <c r="I468" s="281"/>
      <c r="J468" s="277"/>
      <c r="K468" s="231"/>
      <c r="L468" s="113"/>
      <c r="M468" s="113"/>
      <c r="N468" s="113"/>
      <c r="O468" s="113"/>
      <c r="P468" s="113"/>
    </row>
    <row r="469" spans="3:16" x14ac:dyDescent="0.3">
      <c r="C469" s="118"/>
      <c r="D469" s="257" t="s">
        <v>266</v>
      </c>
      <c r="E469" s="260"/>
      <c r="F469" s="255"/>
      <c r="G469" s="256"/>
      <c r="H469" s="256"/>
      <c r="I469" s="281"/>
      <c r="J469" s="277"/>
      <c r="K469" s="231"/>
      <c r="L469" s="113"/>
      <c r="M469" s="113"/>
      <c r="N469" s="113"/>
      <c r="O469" s="113"/>
      <c r="P469" s="113"/>
    </row>
    <row r="470" spans="3:16" x14ac:dyDescent="0.3">
      <c r="C470" s="114"/>
      <c r="D470" s="258" t="s">
        <v>818</v>
      </c>
      <c r="E470" s="239" t="s">
        <v>0</v>
      </c>
      <c r="F470" s="235">
        <v>1</v>
      </c>
      <c r="G470" s="236"/>
      <c r="H470" s="236">
        <v>2.83</v>
      </c>
      <c r="I470" s="236">
        <v>0.85</v>
      </c>
      <c r="J470" s="242">
        <v>1</v>
      </c>
      <c r="K470" s="237">
        <f t="shared" ref="K470:K482" si="45">((H470+I470)*2)*F470*J470</f>
        <v>7.36</v>
      </c>
      <c r="L470" s="111"/>
      <c r="M470" s="111"/>
      <c r="N470" s="111"/>
      <c r="O470" s="111"/>
      <c r="P470" s="111"/>
    </row>
    <row r="471" spans="3:16" x14ac:dyDescent="0.3">
      <c r="C471" s="114"/>
      <c r="D471" s="258" t="s">
        <v>819</v>
      </c>
      <c r="E471" s="239" t="s">
        <v>0</v>
      </c>
      <c r="F471" s="235">
        <v>1</v>
      </c>
      <c r="G471" s="236"/>
      <c r="H471" s="236">
        <v>2.63</v>
      </c>
      <c r="I471" s="236">
        <v>1.58</v>
      </c>
      <c r="J471" s="242">
        <v>1</v>
      </c>
      <c r="K471" s="237">
        <f t="shared" si="45"/>
        <v>8.42</v>
      </c>
      <c r="L471" s="111"/>
      <c r="M471" s="111"/>
      <c r="N471" s="111"/>
      <c r="O471" s="111"/>
      <c r="P471" s="111"/>
    </row>
    <row r="472" spans="3:16" x14ac:dyDescent="0.3">
      <c r="C472" s="114"/>
      <c r="D472" s="258" t="s">
        <v>820</v>
      </c>
      <c r="E472" s="239" t="s">
        <v>0</v>
      </c>
      <c r="F472" s="235">
        <v>1</v>
      </c>
      <c r="G472" s="236"/>
      <c r="H472" s="236">
        <v>2.7</v>
      </c>
      <c r="I472" s="236">
        <v>0.85</v>
      </c>
      <c r="J472" s="242">
        <v>1</v>
      </c>
      <c r="K472" s="237">
        <f t="shared" si="45"/>
        <v>7.1000000000000005</v>
      </c>
      <c r="L472" s="111"/>
      <c r="M472" s="111"/>
      <c r="N472" s="111"/>
      <c r="O472" s="111"/>
      <c r="P472" s="111"/>
    </row>
    <row r="473" spans="3:16" x14ac:dyDescent="0.3">
      <c r="C473" s="114"/>
      <c r="D473" s="258" t="s">
        <v>821</v>
      </c>
      <c r="E473" s="239" t="s">
        <v>0</v>
      </c>
      <c r="F473" s="235">
        <v>1</v>
      </c>
      <c r="G473" s="236"/>
      <c r="H473" s="236">
        <v>1.25</v>
      </c>
      <c r="I473" s="236">
        <v>0.6</v>
      </c>
      <c r="J473" s="242">
        <v>1</v>
      </c>
      <c r="K473" s="237">
        <f>((H473+I473)*2)*F473*J473</f>
        <v>3.7</v>
      </c>
      <c r="L473" s="111"/>
      <c r="M473" s="111"/>
      <c r="N473" s="111"/>
      <c r="O473" s="111"/>
      <c r="P473" s="111"/>
    </row>
    <row r="474" spans="3:16" x14ac:dyDescent="0.3">
      <c r="C474" s="114"/>
      <c r="D474" s="258" t="s">
        <v>822</v>
      </c>
      <c r="E474" s="239" t="s">
        <v>0</v>
      </c>
      <c r="F474" s="235">
        <v>1</v>
      </c>
      <c r="G474" s="236"/>
      <c r="H474" s="282">
        <v>1.3</v>
      </c>
      <c r="I474" s="236">
        <v>0.6</v>
      </c>
      <c r="J474" s="242">
        <v>1</v>
      </c>
      <c r="K474" s="237">
        <f t="shared" si="45"/>
        <v>3.8</v>
      </c>
      <c r="L474" s="111"/>
      <c r="M474" s="111"/>
      <c r="N474" s="111"/>
      <c r="O474" s="111"/>
      <c r="P474" s="111"/>
    </row>
    <row r="475" spans="3:16" x14ac:dyDescent="0.3">
      <c r="C475" s="114"/>
      <c r="D475" s="258" t="s">
        <v>823</v>
      </c>
      <c r="E475" s="239" t="s">
        <v>0</v>
      </c>
      <c r="F475" s="235">
        <v>1</v>
      </c>
      <c r="G475" s="236"/>
      <c r="H475" s="236">
        <v>1.4</v>
      </c>
      <c r="I475" s="236">
        <v>1.58</v>
      </c>
      <c r="J475" s="242">
        <v>1</v>
      </c>
      <c r="K475" s="237">
        <f t="shared" si="45"/>
        <v>5.96</v>
      </c>
      <c r="L475" s="111"/>
      <c r="M475" s="111"/>
      <c r="N475" s="111"/>
      <c r="O475" s="111"/>
      <c r="P475" s="111"/>
    </row>
    <row r="476" spans="3:16" x14ac:dyDescent="0.3">
      <c r="C476" s="114"/>
      <c r="D476" s="258" t="s">
        <v>824</v>
      </c>
      <c r="E476" s="239" t="s">
        <v>0</v>
      </c>
      <c r="F476" s="235">
        <v>2</v>
      </c>
      <c r="G476" s="236"/>
      <c r="H476" s="236">
        <v>1.08</v>
      </c>
      <c r="I476" s="236">
        <v>0.85</v>
      </c>
      <c r="J476" s="242">
        <v>1</v>
      </c>
      <c r="K476" s="237">
        <f t="shared" si="45"/>
        <v>7.7200000000000006</v>
      </c>
      <c r="L476" s="111"/>
      <c r="M476" s="111"/>
      <c r="N476" s="111"/>
      <c r="O476" s="111"/>
      <c r="P476" s="111"/>
    </row>
    <row r="477" spans="3:16" x14ac:dyDescent="0.3">
      <c r="C477" s="114"/>
      <c r="D477" s="258" t="s">
        <v>825</v>
      </c>
      <c r="E477" s="239" t="s">
        <v>0</v>
      </c>
      <c r="F477" s="235">
        <v>1</v>
      </c>
      <c r="G477" s="236"/>
      <c r="H477" s="236">
        <v>1.33</v>
      </c>
      <c r="I477" s="236">
        <v>0.6</v>
      </c>
      <c r="J477" s="242">
        <v>1</v>
      </c>
      <c r="K477" s="237">
        <f t="shared" si="45"/>
        <v>3.8600000000000003</v>
      </c>
      <c r="L477" s="111"/>
      <c r="M477" s="111"/>
      <c r="N477" s="111"/>
      <c r="O477" s="111"/>
      <c r="P477" s="111"/>
    </row>
    <row r="478" spans="3:16" x14ac:dyDescent="0.3">
      <c r="C478" s="114"/>
      <c r="D478" s="258" t="s">
        <v>826</v>
      </c>
      <c r="E478" s="239" t="s">
        <v>0</v>
      </c>
      <c r="F478" s="235">
        <v>2</v>
      </c>
      <c r="G478" s="236"/>
      <c r="H478" s="236">
        <v>2.2999999999999998</v>
      </c>
      <c r="I478" s="236">
        <v>0.85</v>
      </c>
      <c r="J478" s="242">
        <v>1</v>
      </c>
      <c r="K478" s="237">
        <f t="shared" si="45"/>
        <v>12.6</v>
      </c>
      <c r="L478" s="111"/>
      <c r="M478" s="111"/>
      <c r="N478" s="111"/>
      <c r="O478" s="111"/>
      <c r="P478" s="111"/>
    </row>
    <row r="479" spans="3:16" x14ac:dyDescent="0.3">
      <c r="C479" s="114"/>
      <c r="D479" s="258" t="s">
        <v>827</v>
      </c>
      <c r="E479" s="239" t="s">
        <v>0</v>
      </c>
      <c r="F479" s="235">
        <v>4</v>
      </c>
      <c r="G479" s="236"/>
      <c r="H479" s="236">
        <v>2.2999999999999998</v>
      </c>
      <c r="I479" s="236">
        <v>1.58</v>
      </c>
      <c r="J479" s="242">
        <v>1</v>
      </c>
      <c r="K479" s="237">
        <f t="shared" si="45"/>
        <v>31.04</v>
      </c>
      <c r="L479" s="111"/>
      <c r="M479" s="111"/>
      <c r="N479" s="111"/>
      <c r="O479" s="111"/>
      <c r="P479" s="111"/>
    </row>
    <row r="480" spans="3:16" x14ac:dyDescent="0.3">
      <c r="C480" s="114"/>
      <c r="D480" s="258" t="s">
        <v>828</v>
      </c>
      <c r="E480" s="239" t="s">
        <v>0</v>
      </c>
      <c r="F480" s="235">
        <v>1</v>
      </c>
      <c r="G480" s="236"/>
      <c r="H480" s="236">
        <v>1.63</v>
      </c>
      <c r="I480" s="236">
        <v>0.85</v>
      </c>
      <c r="J480" s="242">
        <v>1</v>
      </c>
      <c r="K480" s="237">
        <f t="shared" si="45"/>
        <v>4.96</v>
      </c>
      <c r="L480" s="111"/>
      <c r="M480" s="111"/>
      <c r="N480" s="111"/>
      <c r="O480" s="111"/>
      <c r="P480" s="111"/>
    </row>
    <row r="481" spans="3:16" x14ac:dyDescent="0.3">
      <c r="C481" s="114"/>
      <c r="D481" s="258" t="s">
        <v>829</v>
      </c>
      <c r="E481" s="239" t="s">
        <v>0</v>
      </c>
      <c r="F481" s="235">
        <v>2</v>
      </c>
      <c r="G481" s="236"/>
      <c r="H481" s="236">
        <v>2.5</v>
      </c>
      <c r="I481" s="236">
        <v>0.6</v>
      </c>
      <c r="J481" s="242">
        <v>1</v>
      </c>
      <c r="K481" s="237">
        <f t="shared" si="45"/>
        <v>12.4</v>
      </c>
      <c r="L481" s="111"/>
      <c r="M481" s="111"/>
      <c r="N481" s="111"/>
      <c r="O481" s="111"/>
      <c r="P481" s="111"/>
    </row>
    <row r="482" spans="3:16" x14ac:dyDescent="0.3">
      <c r="C482" s="114"/>
      <c r="D482" s="258" t="s">
        <v>830</v>
      </c>
      <c r="E482" s="239" t="s">
        <v>0</v>
      </c>
      <c r="F482" s="235">
        <v>1</v>
      </c>
      <c r="G482" s="236"/>
      <c r="H482" s="236">
        <v>1.63</v>
      </c>
      <c r="I482" s="236">
        <v>1.58</v>
      </c>
      <c r="J482" s="242">
        <v>1</v>
      </c>
      <c r="K482" s="237">
        <f t="shared" si="45"/>
        <v>6.42</v>
      </c>
      <c r="L482" s="111"/>
      <c r="M482" s="111"/>
      <c r="N482" s="111"/>
      <c r="O482" s="111"/>
      <c r="P482" s="111"/>
    </row>
    <row r="483" spans="3:16" x14ac:dyDescent="0.3">
      <c r="C483" s="118"/>
      <c r="D483" s="257" t="s">
        <v>129</v>
      </c>
      <c r="E483" s="260"/>
      <c r="F483" s="255"/>
      <c r="G483" s="256"/>
      <c r="H483" s="256"/>
      <c r="I483" s="283"/>
      <c r="J483" s="277"/>
      <c r="K483" s="231"/>
      <c r="L483" s="113"/>
      <c r="M483" s="113"/>
      <c r="N483" s="113"/>
      <c r="O483" s="113"/>
      <c r="P483" s="113"/>
    </row>
    <row r="484" spans="3:16" x14ac:dyDescent="0.3">
      <c r="C484" s="152"/>
      <c r="D484" s="258" t="s">
        <v>831</v>
      </c>
      <c r="E484" s="239" t="s">
        <v>0</v>
      </c>
      <c r="F484" s="235">
        <v>3</v>
      </c>
      <c r="G484" s="236"/>
      <c r="H484" s="236">
        <v>1.2</v>
      </c>
      <c r="I484" s="236">
        <v>2.68</v>
      </c>
      <c r="J484" s="242">
        <v>1</v>
      </c>
      <c r="K484" s="237">
        <f t="shared" ref="K484:K490" si="46">((I484*2)+H484)*F484*J484</f>
        <v>19.68</v>
      </c>
      <c r="L484" s="113"/>
      <c r="M484" s="113"/>
      <c r="N484" s="113"/>
      <c r="O484" s="113"/>
      <c r="P484" s="113"/>
    </row>
    <row r="485" spans="3:16" x14ac:dyDescent="0.2">
      <c r="C485" s="284"/>
      <c r="D485" s="258" t="s">
        <v>832</v>
      </c>
      <c r="E485" s="239" t="s">
        <v>0</v>
      </c>
      <c r="F485" s="235">
        <v>3</v>
      </c>
      <c r="G485" s="236"/>
      <c r="H485" s="236">
        <v>1</v>
      </c>
      <c r="I485" s="236">
        <v>2.48</v>
      </c>
      <c r="J485" s="242">
        <v>1</v>
      </c>
      <c r="K485" s="237">
        <f t="shared" si="46"/>
        <v>17.88</v>
      </c>
      <c r="L485" s="113"/>
      <c r="M485" s="285"/>
      <c r="N485" s="285"/>
      <c r="O485" s="285"/>
      <c r="P485" s="285"/>
    </row>
    <row r="486" spans="3:16" x14ac:dyDescent="0.2">
      <c r="C486" s="284"/>
      <c r="D486" s="258" t="s">
        <v>833</v>
      </c>
      <c r="E486" s="239" t="s">
        <v>0</v>
      </c>
      <c r="F486" s="235">
        <v>1</v>
      </c>
      <c r="G486" s="236"/>
      <c r="H486" s="236">
        <v>1</v>
      </c>
      <c r="I486" s="236">
        <v>2.68</v>
      </c>
      <c r="J486" s="242">
        <v>1</v>
      </c>
      <c r="K486" s="237">
        <f t="shared" si="46"/>
        <v>6.36</v>
      </c>
      <c r="L486" s="113"/>
      <c r="M486" s="285"/>
      <c r="N486" s="285"/>
      <c r="O486" s="285"/>
      <c r="P486" s="285"/>
    </row>
    <row r="487" spans="3:16" x14ac:dyDescent="0.3">
      <c r="C487" s="99"/>
      <c r="D487" s="258" t="s">
        <v>834</v>
      </c>
      <c r="E487" s="239" t="s">
        <v>0</v>
      </c>
      <c r="F487" s="235">
        <v>1</v>
      </c>
      <c r="G487" s="236"/>
      <c r="H487" s="236">
        <v>0.7</v>
      </c>
      <c r="I487" s="236">
        <v>2.88</v>
      </c>
      <c r="J487" s="242">
        <v>1</v>
      </c>
      <c r="K487" s="237">
        <f t="shared" si="46"/>
        <v>6.46</v>
      </c>
      <c r="L487" s="113"/>
      <c r="M487" s="286"/>
      <c r="N487" s="286"/>
      <c r="O487" s="286"/>
      <c r="P487" s="103"/>
    </row>
    <row r="488" spans="3:16" x14ac:dyDescent="0.3">
      <c r="C488" s="99"/>
      <c r="D488" s="258" t="s">
        <v>835</v>
      </c>
      <c r="E488" s="239" t="s">
        <v>0</v>
      </c>
      <c r="F488" s="235">
        <v>1</v>
      </c>
      <c r="G488" s="236"/>
      <c r="H488" s="236">
        <v>0.7</v>
      </c>
      <c r="I488" s="236">
        <v>2.48</v>
      </c>
      <c r="J488" s="242">
        <v>1</v>
      </c>
      <c r="K488" s="237">
        <f t="shared" si="46"/>
        <v>5.66</v>
      </c>
      <c r="L488" s="113"/>
      <c r="M488" s="286"/>
      <c r="N488" s="286"/>
      <c r="O488" s="286"/>
      <c r="P488" s="103"/>
    </row>
    <row r="489" spans="3:16" x14ac:dyDescent="0.3">
      <c r="C489" s="99"/>
      <c r="D489" s="258" t="s">
        <v>836</v>
      </c>
      <c r="E489" s="234" t="s">
        <v>0</v>
      </c>
      <c r="F489" s="235">
        <v>1</v>
      </c>
      <c r="G489" s="236"/>
      <c r="H489" s="236">
        <v>1.2</v>
      </c>
      <c r="I489" s="236">
        <v>2.68</v>
      </c>
      <c r="J489" s="242">
        <v>1</v>
      </c>
      <c r="K489" s="237">
        <f t="shared" si="46"/>
        <v>6.5600000000000005</v>
      </c>
      <c r="L489" s="113"/>
      <c r="M489" s="286"/>
      <c r="N489" s="286"/>
      <c r="O489" s="286"/>
      <c r="P489" s="103"/>
    </row>
    <row r="490" spans="3:16" x14ac:dyDescent="0.3">
      <c r="C490" s="99"/>
      <c r="D490" s="258" t="s">
        <v>837</v>
      </c>
      <c r="E490" s="234" t="s">
        <v>0</v>
      </c>
      <c r="F490" s="235">
        <v>1</v>
      </c>
      <c r="G490" s="236"/>
      <c r="H490" s="236">
        <v>1.2</v>
      </c>
      <c r="I490" s="236">
        <v>2.48</v>
      </c>
      <c r="J490" s="242">
        <v>1</v>
      </c>
      <c r="K490" s="237">
        <f t="shared" si="46"/>
        <v>6.16</v>
      </c>
      <c r="L490" s="113"/>
      <c r="M490" s="286"/>
      <c r="N490" s="286"/>
      <c r="O490" s="286"/>
      <c r="P490" s="103"/>
    </row>
    <row r="491" spans="3:16" x14ac:dyDescent="0.3">
      <c r="C491" s="118"/>
      <c r="D491" s="253" t="s">
        <v>68</v>
      </c>
      <c r="E491" s="260"/>
      <c r="F491" s="255"/>
      <c r="G491" s="256"/>
      <c r="H491" s="256"/>
      <c r="I491" s="283"/>
      <c r="J491" s="277"/>
      <c r="K491" s="231"/>
      <c r="L491" s="113"/>
      <c r="M491" s="113"/>
      <c r="N491" s="113"/>
      <c r="O491" s="113"/>
      <c r="P491" s="113"/>
    </row>
    <row r="492" spans="3:16" x14ac:dyDescent="0.3">
      <c r="C492" s="118"/>
      <c r="D492" s="257" t="s">
        <v>266</v>
      </c>
      <c r="E492" s="260"/>
      <c r="F492" s="255"/>
      <c r="G492" s="256"/>
      <c r="H492" s="256"/>
      <c r="I492" s="283"/>
      <c r="J492" s="277"/>
      <c r="K492" s="231"/>
      <c r="L492" s="113"/>
      <c r="M492" s="113"/>
      <c r="N492" s="113"/>
      <c r="O492" s="113"/>
      <c r="P492" s="113"/>
    </row>
    <row r="493" spans="3:16" x14ac:dyDescent="0.3">
      <c r="C493" s="114"/>
      <c r="D493" s="258" t="s">
        <v>819</v>
      </c>
      <c r="E493" s="239" t="s">
        <v>0</v>
      </c>
      <c r="F493" s="235">
        <v>1</v>
      </c>
      <c r="G493" s="236"/>
      <c r="H493" s="236">
        <v>2.63</v>
      </c>
      <c r="I493" s="236">
        <v>1.58</v>
      </c>
      <c r="J493" s="242">
        <v>1</v>
      </c>
      <c r="K493" s="237">
        <f t="shared" ref="K493:K503" si="47">((H493+I493)*2)*F493*J493</f>
        <v>8.42</v>
      </c>
      <c r="L493" s="111"/>
      <c r="M493" s="111"/>
      <c r="N493" s="111"/>
      <c r="O493" s="111"/>
      <c r="P493" s="111"/>
    </row>
    <row r="494" spans="3:16" x14ac:dyDescent="0.3">
      <c r="C494" s="114"/>
      <c r="D494" s="258" t="s">
        <v>824</v>
      </c>
      <c r="E494" s="239" t="s">
        <v>0</v>
      </c>
      <c r="F494" s="235">
        <v>2</v>
      </c>
      <c r="G494" s="236"/>
      <c r="H494" s="236">
        <v>1.08</v>
      </c>
      <c r="I494" s="236">
        <v>0.85</v>
      </c>
      <c r="J494" s="242">
        <v>1</v>
      </c>
      <c r="K494" s="237">
        <f t="shared" si="47"/>
        <v>7.7200000000000006</v>
      </c>
      <c r="L494" s="111"/>
      <c r="M494" s="111"/>
      <c r="N494" s="111"/>
      <c r="O494" s="111"/>
      <c r="P494" s="111"/>
    </row>
    <row r="495" spans="3:16" x14ac:dyDescent="0.3">
      <c r="C495" s="114"/>
      <c r="D495" s="258" t="s">
        <v>826</v>
      </c>
      <c r="E495" s="239" t="s">
        <v>0</v>
      </c>
      <c r="F495" s="235">
        <v>2</v>
      </c>
      <c r="G495" s="236"/>
      <c r="H495" s="236">
        <v>2.2999999999999998</v>
      </c>
      <c r="I495" s="236">
        <v>0.85</v>
      </c>
      <c r="J495" s="242">
        <v>1</v>
      </c>
      <c r="K495" s="237">
        <f t="shared" si="47"/>
        <v>12.6</v>
      </c>
      <c r="L495" s="111"/>
      <c r="M495" s="111"/>
      <c r="N495" s="111"/>
      <c r="O495" s="111"/>
      <c r="P495" s="111"/>
    </row>
    <row r="496" spans="3:16" x14ac:dyDescent="0.3">
      <c r="C496" s="114"/>
      <c r="D496" s="258" t="s">
        <v>827</v>
      </c>
      <c r="E496" s="239" t="s">
        <v>0</v>
      </c>
      <c r="F496" s="235">
        <v>4</v>
      </c>
      <c r="G496" s="236"/>
      <c r="H496" s="282">
        <v>2.2999999999999998</v>
      </c>
      <c r="I496" s="236">
        <v>1.58</v>
      </c>
      <c r="J496" s="242">
        <v>1</v>
      </c>
      <c r="K496" s="237">
        <f t="shared" si="47"/>
        <v>31.04</v>
      </c>
      <c r="L496" s="111"/>
      <c r="M496" s="111"/>
      <c r="N496" s="111"/>
      <c r="O496" s="111"/>
      <c r="P496" s="111"/>
    </row>
    <row r="497" spans="3:16" x14ac:dyDescent="0.3">
      <c r="C497" s="114"/>
      <c r="D497" s="258" t="s">
        <v>828</v>
      </c>
      <c r="E497" s="239" t="s">
        <v>0</v>
      </c>
      <c r="F497" s="235">
        <v>1</v>
      </c>
      <c r="G497" s="236"/>
      <c r="H497" s="236">
        <v>1.63</v>
      </c>
      <c r="I497" s="236">
        <v>0.85</v>
      </c>
      <c r="J497" s="242">
        <v>1</v>
      </c>
      <c r="K497" s="237">
        <f t="shared" si="47"/>
        <v>4.96</v>
      </c>
      <c r="L497" s="111"/>
      <c r="M497" s="111"/>
      <c r="N497" s="111"/>
      <c r="O497" s="111"/>
      <c r="P497" s="111"/>
    </row>
    <row r="498" spans="3:16" x14ac:dyDescent="0.3">
      <c r="C498" s="114"/>
      <c r="D498" s="258" t="s">
        <v>830</v>
      </c>
      <c r="E498" s="239" t="s">
        <v>0</v>
      </c>
      <c r="F498" s="235">
        <v>1</v>
      </c>
      <c r="G498" s="236"/>
      <c r="H498" s="236">
        <v>1.63</v>
      </c>
      <c r="I498" s="236">
        <v>1.58</v>
      </c>
      <c r="J498" s="242">
        <v>1</v>
      </c>
      <c r="K498" s="237">
        <f t="shared" si="47"/>
        <v>6.42</v>
      </c>
      <c r="L498" s="111"/>
      <c r="M498" s="111"/>
      <c r="N498" s="111"/>
      <c r="O498" s="111"/>
      <c r="P498" s="111"/>
    </row>
    <row r="499" spans="3:16" x14ac:dyDescent="0.3">
      <c r="C499" s="114"/>
      <c r="D499" s="258" t="s">
        <v>838</v>
      </c>
      <c r="E499" s="239" t="s">
        <v>0</v>
      </c>
      <c r="F499" s="235">
        <v>1</v>
      </c>
      <c r="G499" s="236"/>
      <c r="H499" s="236">
        <v>2.7</v>
      </c>
      <c r="I499" s="236">
        <v>1.58</v>
      </c>
      <c r="J499" s="242">
        <v>1</v>
      </c>
      <c r="K499" s="237">
        <f t="shared" si="47"/>
        <v>8.56</v>
      </c>
      <c r="L499" s="111"/>
      <c r="M499" s="111"/>
      <c r="N499" s="111"/>
      <c r="O499" s="111"/>
      <c r="P499" s="111"/>
    </row>
    <row r="500" spans="3:16" x14ac:dyDescent="0.3">
      <c r="C500" s="114"/>
      <c r="D500" s="258" t="s">
        <v>839</v>
      </c>
      <c r="E500" s="239" t="s">
        <v>0</v>
      </c>
      <c r="F500" s="235">
        <v>1</v>
      </c>
      <c r="G500" s="236"/>
      <c r="H500" s="236">
        <v>1.63</v>
      </c>
      <c r="I500" s="236">
        <v>0.85</v>
      </c>
      <c r="J500" s="242">
        <v>1</v>
      </c>
      <c r="K500" s="237">
        <f t="shared" si="47"/>
        <v>4.96</v>
      </c>
      <c r="L500" s="111"/>
      <c r="M500" s="111"/>
      <c r="N500" s="111"/>
      <c r="O500" s="111"/>
      <c r="P500" s="111"/>
    </row>
    <row r="501" spans="3:16" x14ac:dyDescent="0.3">
      <c r="C501" s="114"/>
      <c r="D501" s="258" t="s">
        <v>840</v>
      </c>
      <c r="E501" s="239" t="s">
        <v>0</v>
      </c>
      <c r="F501" s="235">
        <v>1</v>
      </c>
      <c r="G501" s="236"/>
      <c r="H501" s="236">
        <v>3.25</v>
      </c>
      <c r="I501" s="236">
        <v>0.85</v>
      </c>
      <c r="J501" s="242">
        <v>1</v>
      </c>
      <c r="K501" s="237">
        <f t="shared" si="47"/>
        <v>8.1999999999999993</v>
      </c>
      <c r="L501" s="111"/>
      <c r="M501" s="111"/>
      <c r="N501" s="111"/>
      <c r="O501" s="111"/>
      <c r="P501" s="111"/>
    </row>
    <row r="502" spans="3:16" x14ac:dyDescent="0.3">
      <c r="C502" s="114"/>
      <c r="D502" s="258" t="s">
        <v>841</v>
      </c>
      <c r="E502" s="239" t="s">
        <v>0</v>
      </c>
      <c r="F502" s="235">
        <v>1</v>
      </c>
      <c r="G502" s="236"/>
      <c r="H502" s="236">
        <v>3.29</v>
      </c>
      <c r="I502" s="236">
        <v>0.6</v>
      </c>
      <c r="J502" s="242">
        <v>1</v>
      </c>
      <c r="K502" s="237">
        <f t="shared" si="47"/>
        <v>7.78</v>
      </c>
      <c r="L502" s="111"/>
      <c r="M502" s="111"/>
      <c r="N502" s="111"/>
      <c r="O502" s="111"/>
      <c r="P502" s="111"/>
    </row>
    <row r="503" spans="3:16" x14ac:dyDescent="0.3">
      <c r="C503" s="114"/>
      <c r="D503" s="258" t="s">
        <v>842</v>
      </c>
      <c r="E503" s="239" t="s">
        <v>0</v>
      </c>
      <c r="F503" s="235">
        <v>1</v>
      </c>
      <c r="G503" s="236"/>
      <c r="H503" s="236">
        <v>1.33</v>
      </c>
      <c r="I503" s="236">
        <v>0.85</v>
      </c>
      <c r="J503" s="242">
        <v>1</v>
      </c>
      <c r="K503" s="237">
        <f t="shared" si="47"/>
        <v>4.3600000000000003</v>
      </c>
      <c r="L503" s="111"/>
      <c r="M503" s="111"/>
      <c r="N503" s="111"/>
      <c r="O503" s="111"/>
      <c r="P503" s="111"/>
    </row>
    <row r="504" spans="3:16" x14ac:dyDescent="0.3">
      <c r="C504" s="118"/>
      <c r="D504" s="257" t="s">
        <v>129</v>
      </c>
      <c r="E504" s="260"/>
      <c r="F504" s="255"/>
      <c r="G504" s="256"/>
      <c r="H504" s="256"/>
      <c r="I504" s="281"/>
      <c r="J504" s="277"/>
      <c r="K504" s="231"/>
      <c r="L504" s="113"/>
      <c r="M504" s="113"/>
      <c r="N504" s="113"/>
      <c r="O504" s="113"/>
      <c r="P504" s="113"/>
    </row>
    <row r="505" spans="3:16" x14ac:dyDescent="0.2">
      <c r="C505" s="284"/>
      <c r="D505" s="258" t="s">
        <v>831</v>
      </c>
      <c r="E505" s="239" t="s">
        <v>0</v>
      </c>
      <c r="F505" s="235">
        <v>1</v>
      </c>
      <c r="G505" s="236"/>
      <c r="H505" s="236">
        <v>1.2</v>
      </c>
      <c r="I505" s="236">
        <v>2.68</v>
      </c>
      <c r="J505" s="242">
        <v>1</v>
      </c>
      <c r="K505" s="237">
        <f t="shared" ref="K505:K509" si="48">((I505*2)+H505)*F505*J505</f>
        <v>6.5600000000000005</v>
      </c>
      <c r="L505" s="113"/>
      <c r="M505" s="285"/>
      <c r="N505" s="285"/>
      <c r="O505" s="285"/>
      <c r="P505" s="285"/>
    </row>
    <row r="506" spans="3:16" x14ac:dyDescent="0.2">
      <c r="C506" s="284"/>
      <c r="D506" s="258" t="s">
        <v>833</v>
      </c>
      <c r="E506" s="239" t="s">
        <v>0</v>
      </c>
      <c r="F506" s="235">
        <v>2</v>
      </c>
      <c r="G506" s="236"/>
      <c r="H506" s="236">
        <v>1</v>
      </c>
      <c r="I506" s="236">
        <v>2.68</v>
      </c>
      <c r="J506" s="242">
        <v>1</v>
      </c>
      <c r="K506" s="237">
        <f t="shared" si="48"/>
        <v>12.72</v>
      </c>
      <c r="L506" s="113"/>
      <c r="M506" s="285"/>
      <c r="N506" s="285"/>
      <c r="O506" s="285"/>
      <c r="P506" s="285"/>
    </row>
    <row r="507" spans="3:16" x14ac:dyDescent="0.3">
      <c r="C507" s="152"/>
      <c r="D507" s="258" t="s">
        <v>834</v>
      </c>
      <c r="E507" s="239" t="s">
        <v>0</v>
      </c>
      <c r="F507" s="235">
        <v>1</v>
      </c>
      <c r="G507" s="236"/>
      <c r="H507" s="236">
        <v>0.7</v>
      </c>
      <c r="I507" s="236">
        <v>2.88</v>
      </c>
      <c r="J507" s="242">
        <v>1</v>
      </c>
      <c r="K507" s="237">
        <f t="shared" si="48"/>
        <v>6.46</v>
      </c>
      <c r="L507" s="113"/>
      <c r="M507" s="113"/>
      <c r="N507" s="113"/>
      <c r="O507" s="113"/>
      <c r="P507" s="113"/>
    </row>
    <row r="508" spans="3:16" x14ac:dyDescent="0.3">
      <c r="C508" s="152"/>
      <c r="D508" s="258" t="s">
        <v>843</v>
      </c>
      <c r="E508" s="239" t="s">
        <v>0</v>
      </c>
      <c r="F508" s="235">
        <v>1</v>
      </c>
      <c r="G508" s="236"/>
      <c r="H508" s="236">
        <v>1</v>
      </c>
      <c r="I508" s="236">
        <v>2.68</v>
      </c>
      <c r="J508" s="242">
        <v>1</v>
      </c>
      <c r="K508" s="237">
        <f t="shared" si="48"/>
        <v>6.36</v>
      </c>
      <c r="L508" s="113"/>
      <c r="M508" s="113"/>
      <c r="N508" s="113"/>
      <c r="O508" s="113"/>
      <c r="P508" s="113"/>
    </row>
    <row r="509" spans="3:16" x14ac:dyDescent="0.3">
      <c r="C509" s="152"/>
      <c r="D509" s="258" t="s">
        <v>836</v>
      </c>
      <c r="E509" s="234" t="s">
        <v>0</v>
      </c>
      <c r="F509" s="235">
        <v>1</v>
      </c>
      <c r="G509" s="236"/>
      <c r="H509" s="236">
        <v>1.2</v>
      </c>
      <c r="I509" s="236">
        <v>2.68</v>
      </c>
      <c r="J509" s="242">
        <v>1</v>
      </c>
      <c r="K509" s="237">
        <f t="shared" si="48"/>
        <v>6.5600000000000005</v>
      </c>
      <c r="L509" s="113"/>
      <c r="M509" s="113"/>
      <c r="N509" s="113"/>
      <c r="O509" s="113"/>
      <c r="P509" s="113"/>
    </row>
    <row r="510" spans="3:16" x14ac:dyDescent="0.3">
      <c r="C510" s="118"/>
      <c r="D510" s="253" t="s">
        <v>106</v>
      </c>
      <c r="E510" s="260"/>
      <c r="F510" s="255"/>
      <c r="G510" s="256"/>
      <c r="H510" s="256"/>
      <c r="I510" s="283"/>
      <c r="J510" s="277"/>
      <c r="K510" s="231"/>
      <c r="L510" s="113"/>
      <c r="M510" s="113"/>
      <c r="N510" s="113"/>
      <c r="O510" s="113"/>
      <c r="P510" s="113"/>
    </row>
    <row r="511" spans="3:16" x14ac:dyDescent="0.3">
      <c r="C511" s="118"/>
      <c r="D511" s="257" t="s">
        <v>266</v>
      </c>
      <c r="E511" s="260"/>
      <c r="F511" s="255"/>
      <c r="G511" s="256"/>
      <c r="H511" s="256"/>
      <c r="I511" s="283"/>
      <c r="J511" s="277"/>
      <c r="K511" s="231"/>
      <c r="L511" s="113"/>
      <c r="M511" s="113"/>
      <c r="N511" s="113"/>
      <c r="O511" s="113"/>
      <c r="P511" s="113"/>
    </row>
    <row r="512" spans="3:16" x14ac:dyDescent="0.3">
      <c r="C512" s="118"/>
      <c r="D512" s="258" t="s">
        <v>819</v>
      </c>
      <c r="E512" s="239" t="s">
        <v>0</v>
      </c>
      <c r="F512" s="235">
        <v>1</v>
      </c>
      <c r="G512" s="236"/>
      <c r="H512" s="236">
        <v>2.63</v>
      </c>
      <c r="I512" s="236">
        <v>1.56</v>
      </c>
      <c r="J512" s="242">
        <v>1</v>
      </c>
      <c r="K512" s="237">
        <f t="shared" ref="K512:K522" si="49">((H512+I512)*2)*F512*J512</f>
        <v>8.379999999999999</v>
      </c>
      <c r="L512" s="113"/>
      <c r="M512" s="113"/>
      <c r="N512" s="113"/>
      <c r="O512" s="113"/>
      <c r="P512" s="113"/>
    </row>
    <row r="513" spans="3:16" x14ac:dyDescent="0.3">
      <c r="C513" s="114"/>
      <c r="D513" s="258" t="s">
        <v>824</v>
      </c>
      <c r="E513" s="239" t="s">
        <v>0</v>
      </c>
      <c r="F513" s="235">
        <v>2</v>
      </c>
      <c r="G513" s="236"/>
      <c r="H513" s="236">
        <v>1.08</v>
      </c>
      <c r="I513" s="236">
        <v>0.85</v>
      </c>
      <c r="J513" s="242">
        <v>1</v>
      </c>
      <c r="K513" s="237">
        <f t="shared" si="49"/>
        <v>7.7200000000000006</v>
      </c>
      <c r="L513" s="111"/>
      <c r="M513" s="111"/>
      <c r="N513" s="111"/>
      <c r="O513" s="111"/>
      <c r="P513" s="111"/>
    </row>
    <row r="514" spans="3:16" x14ac:dyDescent="0.3">
      <c r="C514" s="114"/>
      <c r="D514" s="258" t="s">
        <v>826</v>
      </c>
      <c r="E514" s="239" t="s">
        <v>0</v>
      </c>
      <c r="F514" s="235">
        <v>2</v>
      </c>
      <c r="G514" s="236"/>
      <c r="H514" s="236">
        <v>2.2999999999999998</v>
      </c>
      <c r="I514" s="236">
        <v>0.85</v>
      </c>
      <c r="J514" s="242">
        <v>1</v>
      </c>
      <c r="K514" s="237">
        <f t="shared" si="49"/>
        <v>12.6</v>
      </c>
      <c r="L514" s="111"/>
      <c r="M514" s="111"/>
      <c r="N514" s="111"/>
      <c r="O514" s="111"/>
      <c r="P514" s="111"/>
    </row>
    <row r="515" spans="3:16" x14ac:dyDescent="0.3">
      <c r="C515" s="114"/>
      <c r="D515" s="258" t="s">
        <v>827</v>
      </c>
      <c r="E515" s="239" t="s">
        <v>0</v>
      </c>
      <c r="F515" s="235">
        <v>4</v>
      </c>
      <c r="G515" s="236"/>
      <c r="H515" s="282">
        <v>2.2999999999999998</v>
      </c>
      <c r="I515" s="236">
        <v>1.56</v>
      </c>
      <c r="J515" s="242">
        <v>1</v>
      </c>
      <c r="K515" s="237">
        <f t="shared" si="49"/>
        <v>30.88</v>
      </c>
      <c r="L515" s="111"/>
      <c r="M515" s="111"/>
      <c r="N515" s="111"/>
      <c r="O515" s="111"/>
      <c r="P515" s="111"/>
    </row>
    <row r="516" spans="3:16" x14ac:dyDescent="0.3">
      <c r="C516" s="114"/>
      <c r="D516" s="258" t="s">
        <v>828</v>
      </c>
      <c r="E516" s="239" t="s">
        <v>0</v>
      </c>
      <c r="F516" s="235">
        <v>1</v>
      </c>
      <c r="G516" s="236"/>
      <c r="H516" s="236">
        <v>1.63</v>
      </c>
      <c r="I516" s="236">
        <v>0.85</v>
      </c>
      <c r="J516" s="242">
        <v>1</v>
      </c>
      <c r="K516" s="237">
        <f t="shared" si="49"/>
        <v>4.96</v>
      </c>
      <c r="L516" s="111"/>
      <c r="M516" s="111"/>
      <c r="N516" s="111"/>
      <c r="O516" s="111"/>
      <c r="P516" s="111"/>
    </row>
    <row r="517" spans="3:16" x14ac:dyDescent="0.3">
      <c r="C517" s="114"/>
      <c r="D517" s="258" t="s">
        <v>830</v>
      </c>
      <c r="E517" s="239" t="s">
        <v>0</v>
      </c>
      <c r="F517" s="235">
        <v>1</v>
      </c>
      <c r="G517" s="236"/>
      <c r="H517" s="236">
        <v>1.63</v>
      </c>
      <c r="I517" s="236">
        <v>1.56</v>
      </c>
      <c r="J517" s="242">
        <v>1</v>
      </c>
      <c r="K517" s="237">
        <f t="shared" si="49"/>
        <v>6.38</v>
      </c>
      <c r="L517" s="111"/>
      <c r="M517" s="111"/>
      <c r="N517" s="111"/>
      <c r="O517" s="111"/>
      <c r="P517" s="111"/>
    </row>
    <row r="518" spans="3:16" x14ac:dyDescent="0.3">
      <c r="C518" s="114"/>
      <c r="D518" s="258" t="s">
        <v>838</v>
      </c>
      <c r="E518" s="239" t="s">
        <v>0</v>
      </c>
      <c r="F518" s="235">
        <v>1</v>
      </c>
      <c r="G518" s="236"/>
      <c r="H518" s="236">
        <v>2.7</v>
      </c>
      <c r="I518" s="236">
        <v>1.56</v>
      </c>
      <c r="J518" s="242">
        <v>1</v>
      </c>
      <c r="K518" s="237">
        <f t="shared" si="49"/>
        <v>8.52</v>
      </c>
      <c r="L518" s="111"/>
      <c r="M518" s="111"/>
      <c r="N518" s="111"/>
      <c r="O518" s="111"/>
      <c r="P518" s="111"/>
    </row>
    <row r="519" spans="3:16" x14ac:dyDescent="0.3">
      <c r="C519" s="114"/>
      <c r="D519" s="258" t="s">
        <v>841</v>
      </c>
      <c r="E519" s="239" t="s">
        <v>0</v>
      </c>
      <c r="F519" s="235">
        <v>1</v>
      </c>
      <c r="G519" s="236"/>
      <c r="H519" s="236">
        <v>3.29</v>
      </c>
      <c r="I519" s="236">
        <v>0.6</v>
      </c>
      <c r="J519" s="242">
        <v>1</v>
      </c>
      <c r="K519" s="237">
        <f t="shared" si="49"/>
        <v>7.78</v>
      </c>
      <c r="L519" s="111"/>
      <c r="M519" s="111"/>
      <c r="N519" s="111"/>
      <c r="O519" s="111"/>
      <c r="P519" s="111"/>
    </row>
    <row r="520" spans="3:16" x14ac:dyDescent="0.3">
      <c r="C520" s="114"/>
      <c r="D520" s="258" t="s">
        <v>842</v>
      </c>
      <c r="E520" s="239" t="s">
        <v>0</v>
      </c>
      <c r="F520" s="235">
        <v>1</v>
      </c>
      <c r="G520" s="236"/>
      <c r="H520" s="236">
        <v>1.33</v>
      </c>
      <c r="I520" s="236">
        <v>0.85</v>
      </c>
      <c r="J520" s="242">
        <v>1</v>
      </c>
      <c r="K520" s="237">
        <f t="shared" si="49"/>
        <v>4.3600000000000003</v>
      </c>
      <c r="L520" s="111"/>
      <c r="M520" s="111"/>
      <c r="N520" s="111"/>
      <c r="O520" s="111"/>
      <c r="P520" s="111"/>
    </row>
    <row r="521" spans="3:16" x14ac:dyDescent="0.3">
      <c r="C521" s="114"/>
      <c r="D521" s="258" t="s">
        <v>844</v>
      </c>
      <c r="E521" s="239" t="s">
        <v>0</v>
      </c>
      <c r="F521" s="235">
        <v>1</v>
      </c>
      <c r="G521" s="236"/>
      <c r="H521" s="236">
        <v>4.25</v>
      </c>
      <c r="I521" s="236">
        <v>0.85</v>
      </c>
      <c r="J521" s="242">
        <v>1</v>
      </c>
      <c r="K521" s="237">
        <f t="shared" si="49"/>
        <v>10.199999999999999</v>
      </c>
      <c r="L521" s="111"/>
      <c r="M521" s="111"/>
      <c r="N521" s="111"/>
      <c r="O521" s="111"/>
      <c r="P521" s="111"/>
    </row>
    <row r="522" spans="3:16" x14ac:dyDescent="0.3">
      <c r="C522" s="114"/>
      <c r="D522" s="258" t="s">
        <v>845</v>
      </c>
      <c r="E522" s="239" t="s">
        <v>0</v>
      </c>
      <c r="F522" s="235">
        <v>1</v>
      </c>
      <c r="G522" s="236"/>
      <c r="H522" s="236">
        <v>1.43</v>
      </c>
      <c r="I522" s="236">
        <v>0.85</v>
      </c>
      <c r="J522" s="242">
        <v>1</v>
      </c>
      <c r="K522" s="237">
        <f t="shared" si="49"/>
        <v>4.5599999999999996</v>
      </c>
      <c r="L522" s="111"/>
      <c r="M522" s="111"/>
      <c r="N522" s="111"/>
      <c r="O522" s="111"/>
      <c r="P522" s="111"/>
    </row>
    <row r="523" spans="3:16" x14ac:dyDescent="0.3">
      <c r="C523" s="118"/>
      <c r="D523" s="257" t="s">
        <v>129</v>
      </c>
      <c r="E523" s="260"/>
      <c r="F523" s="255"/>
      <c r="G523" s="256"/>
      <c r="H523" s="256"/>
      <c r="I523" s="283"/>
      <c r="J523" s="277"/>
      <c r="K523" s="231"/>
      <c r="L523" s="113"/>
      <c r="M523" s="113"/>
      <c r="N523" s="113"/>
      <c r="O523" s="113"/>
      <c r="P523" s="113"/>
    </row>
    <row r="524" spans="3:16" x14ac:dyDescent="0.2">
      <c r="C524" s="284"/>
      <c r="D524" s="258" t="s">
        <v>831</v>
      </c>
      <c r="E524" s="239" t="s">
        <v>0</v>
      </c>
      <c r="F524" s="235">
        <v>2</v>
      </c>
      <c r="G524" s="236"/>
      <c r="H524" s="236">
        <v>1.2</v>
      </c>
      <c r="I524" s="236">
        <v>2.66</v>
      </c>
      <c r="J524" s="242">
        <v>1</v>
      </c>
      <c r="K524" s="237">
        <f t="shared" ref="K524:K527" si="50">((I524*2)+H524)*F524*J524</f>
        <v>13.040000000000001</v>
      </c>
      <c r="L524" s="113"/>
      <c r="M524" s="285"/>
      <c r="N524" s="285"/>
      <c r="O524" s="285"/>
      <c r="P524" s="285"/>
    </row>
    <row r="525" spans="3:16" x14ac:dyDescent="0.3">
      <c r="C525" s="152"/>
      <c r="D525" s="258" t="s">
        <v>834</v>
      </c>
      <c r="E525" s="239" t="s">
        <v>0</v>
      </c>
      <c r="F525" s="235">
        <v>1</v>
      </c>
      <c r="G525" s="236"/>
      <c r="H525" s="236">
        <v>0.7</v>
      </c>
      <c r="I525" s="236">
        <v>2.86</v>
      </c>
      <c r="J525" s="242">
        <v>1</v>
      </c>
      <c r="K525" s="237">
        <f t="shared" si="50"/>
        <v>6.42</v>
      </c>
      <c r="L525" s="113"/>
      <c r="M525" s="113"/>
      <c r="N525" s="113"/>
      <c r="O525" s="113"/>
      <c r="P525" s="113"/>
    </row>
    <row r="526" spans="3:16" x14ac:dyDescent="0.3">
      <c r="C526" s="152"/>
      <c r="D526" s="258" t="s">
        <v>843</v>
      </c>
      <c r="E526" s="239" t="s">
        <v>0</v>
      </c>
      <c r="F526" s="235">
        <v>1</v>
      </c>
      <c r="G526" s="236"/>
      <c r="H526" s="236">
        <v>1</v>
      </c>
      <c r="I526" s="236">
        <v>2.66</v>
      </c>
      <c r="J526" s="242">
        <v>1</v>
      </c>
      <c r="K526" s="237">
        <f t="shared" si="50"/>
        <v>6.32</v>
      </c>
      <c r="L526" s="113"/>
      <c r="M526" s="113"/>
      <c r="N526" s="113"/>
      <c r="O526" s="113"/>
      <c r="P526" s="113"/>
    </row>
    <row r="527" spans="3:16" x14ac:dyDescent="0.3">
      <c r="C527" s="152"/>
      <c r="D527" s="258" t="s">
        <v>836</v>
      </c>
      <c r="E527" s="234" t="s">
        <v>0</v>
      </c>
      <c r="F527" s="235">
        <v>1</v>
      </c>
      <c r="G527" s="236"/>
      <c r="H527" s="236">
        <v>1.2</v>
      </c>
      <c r="I527" s="236">
        <v>2.66</v>
      </c>
      <c r="J527" s="242">
        <v>1</v>
      </c>
      <c r="K527" s="237">
        <f t="shared" si="50"/>
        <v>6.5200000000000005</v>
      </c>
      <c r="L527" s="113"/>
      <c r="M527" s="113"/>
      <c r="N527" s="113"/>
      <c r="O527" s="113"/>
      <c r="P527" s="113"/>
    </row>
    <row r="528" spans="3:16" ht="14.4" x14ac:dyDescent="0.3"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3:16" ht="20.399999999999999" x14ac:dyDescent="0.3">
      <c r="C529" s="99" t="s">
        <v>1185</v>
      </c>
      <c r="D529" s="226" t="s">
        <v>846</v>
      </c>
      <c r="E529" s="101" t="s">
        <v>0</v>
      </c>
      <c r="F529" s="1"/>
      <c r="G529" s="2"/>
      <c r="H529" s="2"/>
      <c r="I529" s="2"/>
      <c r="J529" s="3"/>
      <c r="K529" s="103"/>
      <c r="L529" s="103"/>
      <c r="M529" s="103"/>
      <c r="N529" s="103"/>
      <c r="O529" s="103"/>
      <c r="P529" s="103">
        <f>SUM(L529:L551)</f>
        <v>303.39999999999998</v>
      </c>
    </row>
    <row r="530" spans="3:16" x14ac:dyDescent="0.3">
      <c r="C530" s="106"/>
      <c r="D530" s="227" t="s">
        <v>106</v>
      </c>
      <c r="E530" s="228"/>
      <c r="F530" s="229"/>
      <c r="G530" s="230"/>
      <c r="H530" s="230"/>
      <c r="I530" s="230"/>
      <c r="J530" s="229"/>
      <c r="K530" s="231"/>
      <c r="L530" s="231"/>
      <c r="M530" s="113"/>
      <c r="N530" s="113"/>
      <c r="O530" s="113"/>
      <c r="P530" s="113"/>
    </row>
    <row r="531" spans="3:16" x14ac:dyDescent="0.3">
      <c r="C531" s="114"/>
      <c r="D531" s="258" t="s">
        <v>518</v>
      </c>
      <c r="E531" s="234" t="s">
        <v>0</v>
      </c>
      <c r="F531" s="235">
        <v>1</v>
      </c>
      <c r="G531" s="236" t="s">
        <v>156</v>
      </c>
      <c r="H531" s="287">
        <v>8.33</v>
      </c>
      <c r="I531" s="236"/>
      <c r="J531" s="235">
        <v>1</v>
      </c>
      <c r="K531" s="237"/>
      <c r="L531" s="237">
        <f t="shared" ref="L531:L550" si="51">IF(F531="","",PRODUCT(F531:J531))</f>
        <v>8.33</v>
      </c>
      <c r="M531" s="111"/>
      <c r="N531" s="110"/>
      <c r="O531" s="111"/>
      <c r="P531" s="111"/>
    </row>
    <row r="532" spans="3:16" x14ac:dyDescent="0.3">
      <c r="C532" s="114"/>
      <c r="D532" s="258"/>
      <c r="E532" s="234" t="s">
        <v>0</v>
      </c>
      <c r="F532" s="235">
        <v>1</v>
      </c>
      <c r="G532" s="236" t="s">
        <v>156</v>
      </c>
      <c r="H532" s="287">
        <v>8.56</v>
      </c>
      <c r="I532" s="236"/>
      <c r="J532" s="235">
        <v>1</v>
      </c>
      <c r="K532" s="237"/>
      <c r="L532" s="237">
        <f t="shared" si="51"/>
        <v>8.56</v>
      </c>
      <c r="M532" s="111"/>
      <c r="N532" s="111"/>
      <c r="O532" s="111"/>
      <c r="P532" s="111"/>
    </row>
    <row r="533" spans="3:16" x14ac:dyDescent="0.3">
      <c r="C533" s="114"/>
      <c r="D533" s="258"/>
      <c r="E533" s="234" t="s">
        <v>0</v>
      </c>
      <c r="F533" s="235">
        <v>1</v>
      </c>
      <c r="G533" s="236" t="s">
        <v>156</v>
      </c>
      <c r="H533" s="287">
        <v>9.8000000000000007</v>
      </c>
      <c r="I533" s="236"/>
      <c r="J533" s="235">
        <v>1</v>
      </c>
      <c r="K533" s="237"/>
      <c r="L533" s="237">
        <f t="shared" si="51"/>
        <v>9.8000000000000007</v>
      </c>
      <c r="M533" s="111"/>
      <c r="N533" s="111"/>
      <c r="O533" s="111"/>
      <c r="P533" s="111"/>
    </row>
    <row r="534" spans="3:16" x14ac:dyDescent="0.3">
      <c r="C534" s="114"/>
      <c r="D534" s="258"/>
      <c r="E534" s="234" t="s">
        <v>0</v>
      </c>
      <c r="F534" s="235">
        <v>1</v>
      </c>
      <c r="G534" s="236" t="s">
        <v>156</v>
      </c>
      <c r="H534" s="287">
        <v>8.51</v>
      </c>
      <c r="I534" s="236"/>
      <c r="J534" s="235">
        <v>1</v>
      </c>
      <c r="K534" s="237"/>
      <c r="L534" s="237">
        <f t="shared" si="51"/>
        <v>8.51</v>
      </c>
      <c r="M534" s="111"/>
      <c r="N534" s="111"/>
      <c r="O534" s="111"/>
      <c r="P534" s="111"/>
    </row>
    <row r="535" spans="3:16" x14ac:dyDescent="0.3">
      <c r="C535" s="114"/>
      <c r="D535" s="258"/>
      <c r="E535" s="234" t="s">
        <v>0</v>
      </c>
      <c r="F535" s="235">
        <v>1</v>
      </c>
      <c r="G535" s="236" t="s">
        <v>156</v>
      </c>
      <c r="H535" s="287">
        <v>9.75</v>
      </c>
      <c r="I535" s="236"/>
      <c r="J535" s="235">
        <v>1</v>
      </c>
      <c r="K535" s="237"/>
      <c r="L535" s="237">
        <f t="shared" si="51"/>
        <v>9.75</v>
      </c>
      <c r="M535" s="111"/>
      <c r="N535" s="111"/>
      <c r="O535" s="111"/>
      <c r="P535" s="111"/>
    </row>
    <row r="536" spans="3:16" x14ac:dyDescent="0.3">
      <c r="C536" s="114"/>
      <c r="D536" s="258"/>
      <c r="E536" s="234" t="s">
        <v>0</v>
      </c>
      <c r="F536" s="235">
        <v>1</v>
      </c>
      <c r="G536" s="236" t="s">
        <v>156</v>
      </c>
      <c r="H536" s="287">
        <v>8.57</v>
      </c>
      <c r="I536" s="236"/>
      <c r="J536" s="235">
        <v>1</v>
      </c>
      <c r="K536" s="237"/>
      <c r="L536" s="237">
        <f t="shared" si="51"/>
        <v>8.57</v>
      </c>
      <c r="M536" s="111"/>
      <c r="N536" s="111"/>
      <c r="O536" s="111"/>
      <c r="P536" s="111"/>
    </row>
    <row r="537" spans="3:16" x14ac:dyDescent="0.3">
      <c r="C537" s="114"/>
      <c r="D537" s="258"/>
      <c r="E537" s="234" t="s">
        <v>0</v>
      </c>
      <c r="F537" s="235">
        <v>1</v>
      </c>
      <c r="G537" s="236" t="s">
        <v>156</v>
      </c>
      <c r="H537" s="287">
        <v>9.7799999999999994</v>
      </c>
      <c r="I537" s="236"/>
      <c r="J537" s="235">
        <v>1</v>
      </c>
      <c r="K537" s="237"/>
      <c r="L537" s="237">
        <f t="shared" si="51"/>
        <v>9.7799999999999994</v>
      </c>
      <c r="M537" s="111"/>
      <c r="N537" s="111"/>
      <c r="O537" s="111"/>
      <c r="P537" s="111"/>
    </row>
    <row r="538" spans="3:16" x14ac:dyDescent="0.3">
      <c r="C538" s="114"/>
      <c r="D538" s="258"/>
      <c r="E538" s="234" t="s">
        <v>0</v>
      </c>
      <c r="F538" s="235">
        <v>1</v>
      </c>
      <c r="G538" s="236" t="s">
        <v>156</v>
      </c>
      <c r="H538" s="287">
        <v>12.25</v>
      </c>
      <c r="I538" s="236"/>
      <c r="J538" s="235">
        <v>1</v>
      </c>
      <c r="K538" s="237"/>
      <c r="L538" s="237">
        <f t="shared" si="51"/>
        <v>12.25</v>
      </c>
      <c r="M538" s="111"/>
      <c r="N538" s="111"/>
      <c r="O538" s="111"/>
      <c r="P538" s="111"/>
    </row>
    <row r="539" spans="3:16" x14ac:dyDescent="0.3">
      <c r="C539" s="114"/>
      <c r="D539" s="258"/>
      <c r="E539" s="234" t="s">
        <v>0</v>
      </c>
      <c r="F539" s="235">
        <v>1</v>
      </c>
      <c r="G539" s="236" t="s">
        <v>156</v>
      </c>
      <c r="H539" s="287">
        <v>8.61</v>
      </c>
      <c r="I539" s="236"/>
      <c r="J539" s="235">
        <v>1</v>
      </c>
      <c r="K539" s="237"/>
      <c r="L539" s="237">
        <f t="shared" si="51"/>
        <v>8.61</v>
      </c>
      <c r="M539" s="111"/>
      <c r="N539" s="111"/>
      <c r="O539" s="111"/>
      <c r="P539" s="111"/>
    </row>
    <row r="540" spans="3:16" x14ac:dyDescent="0.3">
      <c r="C540" s="114"/>
      <c r="D540" s="258" t="s">
        <v>194</v>
      </c>
      <c r="E540" s="234" t="s">
        <v>0</v>
      </c>
      <c r="F540" s="235">
        <v>1</v>
      </c>
      <c r="G540" s="236" t="s">
        <v>156</v>
      </c>
      <c r="H540" s="287">
        <v>17.96</v>
      </c>
      <c r="I540" s="236"/>
      <c r="J540" s="235">
        <v>1</v>
      </c>
      <c r="K540" s="237"/>
      <c r="L540" s="237">
        <f t="shared" si="51"/>
        <v>17.96</v>
      </c>
      <c r="M540" s="111"/>
      <c r="N540" s="111"/>
      <c r="O540" s="111"/>
      <c r="P540" s="111"/>
    </row>
    <row r="541" spans="3:16" x14ac:dyDescent="0.3">
      <c r="C541" s="114"/>
      <c r="D541" s="258" t="s">
        <v>847</v>
      </c>
      <c r="E541" s="234" t="s">
        <v>0</v>
      </c>
      <c r="F541" s="235">
        <v>1</v>
      </c>
      <c r="G541" s="236" t="s">
        <v>156</v>
      </c>
      <c r="H541" s="287">
        <v>3.34</v>
      </c>
      <c r="I541" s="236"/>
      <c r="J541" s="235">
        <v>1</v>
      </c>
      <c r="K541" s="237"/>
      <c r="L541" s="237">
        <f t="shared" si="51"/>
        <v>3.34</v>
      </c>
      <c r="M541" s="111"/>
      <c r="N541" s="111"/>
      <c r="O541" s="111"/>
      <c r="P541" s="111"/>
    </row>
    <row r="542" spans="3:16" x14ac:dyDescent="0.3">
      <c r="C542" s="114"/>
      <c r="D542" s="258" t="s">
        <v>848</v>
      </c>
      <c r="E542" s="234" t="s">
        <v>0</v>
      </c>
      <c r="F542" s="235">
        <v>1</v>
      </c>
      <c r="G542" s="236" t="s">
        <v>156</v>
      </c>
      <c r="H542" s="287">
        <v>22.44</v>
      </c>
      <c r="I542" s="236"/>
      <c r="J542" s="235">
        <v>1</v>
      </c>
      <c r="K542" s="237"/>
      <c r="L542" s="237">
        <f t="shared" si="51"/>
        <v>22.44</v>
      </c>
      <c r="M542" s="111"/>
      <c r="N542" s="111"/>
      <c r="O542" s="111"/>
      <c r="P542" s="111"/>
    </row>
    <row r="543" spans="3:16" x14ac:dyDescent="0.3">
      <c r="C543" s="114"/>
      <c r="D543" s="258"/>
      <c r="E543" s="234" t="s">
        <v>0</v>
      </c>
      <c r="F543" s="235">
        <v>1</v>
      </c>
      <c r="G543" s="236" t="s">
        <v>156</v>
      </c>
      <c r="H543" s="287">
        <v>25.69</v>
      </c>
      <c r="I543" s="236"/>
      <c r="J543" s="235">
        <v>1</v>
      </c>
      <c r="K543" s="237"/>
      <c r="L543" s="237">
        <f t="shared" si="51"/>
        <v>25.69</v>
      </c>
      <c r="M543" s="111"/>
      <c r="N543" s="111"/>
      <c r="O543" s="111"/>
      <c r="P543" s="111"/>
    </row>
    <row r="544" spans="3:16" x14ac:dyDescent="0.3">
      <c r="C544" s="114"/>
      <c r="D544" s="258"/>
      <c r="E544" s="234" t="s">
        <v>0</v>
      </c>
      <c r="F544" s="235">
        <v>1</v>
      </c>
      <c r="G544" s="236" t="s">
        <v>156</v>
      </c>
      <c r="H544" s="287">
        <v>22.31</v>
      </c>
      <c r="I544" s="236"/>
      <c r="J544" s="235">
        <v>1</v>
      </c>
      <c r="K544" s="237"/>
      <c r="L544" s="237">
        <f t="shared" si="51"/>
        <v>22.31</v>
      </c>
      <c r="M544" s="111"/>
      <c r="N544" s="111"/>
      <c r="O544" s="111"/>
      <c r="P544" s="111"/>
    </row>
    <row r="545" spans="3:16" x14ac:dyDescent="0.3">
      <c r="C545" s="114"/>
      <c r="D545" s="258" t="s">
        <v>849</v>
      </c>
      <c r="E545" s="234" t="s">
        <v>0</v>
      </c>
      <c r="F545" s="235">
        <v>1</v>
      </c>
      <c r="G545" s="236" t="s">
        <v>156</v>
      </c>
      <c r="H545" s="287">
        <v>16.93</v>
      </c>
      <c r="I545" s="236"/>
      <c r="J545" s="235">
        <v>1</v>
      </c>
      <c r="K545" s="237"/>
      <c r="L545" s="237">
        <f t="shared" si="51"/>
        <v>16.93</v>
      </c>
      <c r="M545" s="111"/>
      <c r="N545" s="111"/>
      <c r="O545" s="111"/>
      <c r="P545" s="111"/>
    </row>
    <row r="546" spans="3:16" x14ac:dyDescent="0.3">
      <c r="C546" s="114"/>
      <c r="D546" s="258" t="s">
        <v>850</v>
      </c>
      <c r="E546" s="234" t="s">
        <v>0</v>
      </c>
      <c r="F546" s="235">
        <v>1</v>
      </c>
      <c r="G546" s="236" t="s">
        <v>156</v>
      </c>
      <c r="H546" s="287">
        <v>7.75</v>
      </c>
      <c r="I546" s="236"/>
      <c r="J546" s="235">
        <v>1</v>
      </c>
      <c r="K546" s="237"/>
      <c r="L546" s="237">
        <f t="shared" si="51"/>
        <v>7.75</v>
      </c>
      <c r="M546" s="111"/>
      <c r="N546" s="111"/>
      <c r="O546" s="111"/>
      <c r="P546" s="111"/>
    </row>
    <row r="547" spans="3:16" x14ac:dyDescent="0.3">
      <c r="C547" s="114"/>
      <c r="D547" s="258"/>
      <c r="E547" s="234" t="s">
        <v>0</v>
      </c>
      <c r="F547" s="235">
        <v>1</v>
      </c>
      <c r="G547" s="236" t="s">
        <v>156</v>
      </c>
      <c r="H547" s="287">
        <v>22.47</v>
      </c>
      <c r="I547" s="236"/>
      <c r="J547" s="235">
        <v>1</v>
      </c>
      <c r="K547" s="237"/>
      <c r="L547" s="237">
        <f t="shared" si="51"/>
        <v>22.47</v>
      </c>
      <c r="M547" s="111"/>
      <c r="N547" s="111"/>
      <c r="O547" s="111"/>
      <c r="P547" s="111"/>
    </row>
    <row r="548" spans="3:16" x14ac:dyDescent="0.3">
      <c r="C548" s="114"/>
      <c r="D548" s="258"/>
      <c r="E548" s="234" t="s">
        <v>0</v>
      </c>
      <c r="F548" s="235">
        <v>1</v>
      </c>
      <c r="G548" s="236" t="s">
        <v>156</v>
      </c>
      <c r="H548" s="287">
        <v>25.64</v>
      </c>
      <c r="I548" s="236"/>
      <c r="J548" s="235">
        <v>1</v>
      </c>
      <c r="K548" s="237"/>
      <c r="L548" s="237">
        <f t="shared" si="51"/>
        <v>25.64</v>
      </c>
      <c r="M548" s="111"/>
      <c r="N548" s="111"/>
      <c r="O548" s="111"/>
      <c r="P548" s="111"/>
    </row>
    <row r="549" spans="3:16" x14ac:dyDescent="0.3">
      <c r="C549" s="114"/>
      <c r="D549" s="258" t="s">
        <v>190</v>
      </c>
      <c r="E549" s="234" t="s">
        <v>0</v>
      </c>
      <c r="F549" s="235">
        <v>1</v>
      </c>
      <c r="G549" s="236" t="s">
        <v>156</v>
      </c>
      <c r="H549" s="236">
        <v>32.130000000000003</v>
      </c>
      <c r="I549" s="236"/>
      <c r="J549" s="235">
        <v>1</v>
      </c>
      <c r="K549" s="237"/>
      <c r="L549" s="237">
        <f t="shared" si="51"/>
        <v>32.130000000000003</v>
      </c>
      <c r="M549" s="111"/>
      <c r="N549" s="111"/>
      <c r="O549" s="111"/>
      <c r="P549" s="111"/>
    </row>
    <row r="550" spans="3:16" x14ac:dyDescent="0.3">
      <c r="C550" s="114"/>
      <c r="D550" s="258"/>
      <c r="E550" s="234" t="s">
        <v>0</v>
      </c>
      <c r="F550" s="235">
        <v>1</v>
      </c>
      <c r="G550" s="236" t="s">
        <v>156</v>
      </c>
      <c r="H550" s="236">
        <v>22.58</v>
      </c>
      <c r="I550" s="236"/>
      <c r="J550" s="235">
        <v>1</v>
      </c>
      <c r="K550" s="237"/>
      <c r="L550" s="237">
        <f t="shared" si="51"/>
        <v>22.58</v>
      </c>
      <c r="M550" s="111"/>
      <c r="N550" s="111"/>
      <c r="O550" s="111"/>
      <c r="P550" s="111"/>
    </row>
  </sheetData>
  <mergeCells count="10">
    <mergeCell ref="C2:P2"/>
    <mergeCell ref="D5:P6"/>
    <mergeCell ref="C13:C14"/>
    <mergeCell ref="D13:D14"/>
    <mergeCell ref="E13:E14"/>
    <mergeCell ref="F13:F14"/>
    <mergeCell ref="G13:I13"/>
    <mergeCell ref="J13:J14"/>
    <mergeCell ref="K13:O13"/>
    <mergeCell ref="P13:P14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89AC-1AEB-440F-A2BD-14FC37C2FE15}">
  <dimension ref="A1:V551"/>
  <sheetViews>
    <sheetView view="pageBreakPreview" topLeftCell="B406" zoomScale="115" zoomScaleNormal="100" zoomScaleSheetLayoutView="115" workbookViewId="0">
      <selection activeCell="C530" sqref="C530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2" s="17" customFormat="1" ht="6" thickBot="1" x14ac:dyDescent="0.35">
      <c r="D1" s="18"/>
      <c r="E1" s="19"/>
      <c r="F1" s="19"/>
      <c r="G1" s="20"/>
      <c r="H1" s="20"/>
      <c r="I1" s="20"/>
      <c r="J1" s="21"/>
      <c r="K1" s="22"/>
      <c r="L1" s="22"/>
      <c r="M1" s="20"/>
      <c r="N1" s="20"/>
      <c r="P1" s="23"/>
      <c r="S1" s="24"/>
      <c r="T1" s="25"/>
      <c r="U1" s="25"/>
      <c r="V1" s="25"/>
    </row>
    <row r="2" spans="1:22" ht="23.25" customHeight="1" thickBot="1" x14ac:dyDescent="0.35">
      <c r="C2" s="417" t="s">
        <v>1123</v>
      </c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9"/>
      <c r="S2" s="15"/>
      <c r="T2" s="16"/>
      <c r="U2" s="16"/>
      <c r="V2" s="16"/>
    </row>
    <row r="3" spans="1:22" s="17" customFormat="1" ht="6" thickBot="1" x14ac:dyDescent="0.35">
      <c r="C3" s="23"/>
      <c r="D3" s="26"/>
      <c r="E3" s="19"/>
      <c r="F3" s="19"/>
      <c r="G3" s="27"/>
      <c r="H3" s="27"/>
      <c r="I3" s="27"/>
      <c r="J3" s="19"/>
      <c r="K3" s="28"/>
      <c r="L3" s="28"/>
      <c r="M3" s="27"/>
      <c r="N3" s="27"/>
      <c r="O3" s="19"/>
      <c r="P3" s="29"/>
      <c r="S3" s="24"/>
      <c r="T3" s="25"/>
      <c r="U3" s="25"/>
      <c r="V3" s="25"/>
    </row>
    <row r="4" spans="1:22" s="17" customFormat="1" ht="5.4" x14ac:dyDescent="0.3">
      <c r="C4" s="30"/>
      <c r="D4" s="31"/>
      <c r="E4" s="32"/>
      <c r="F4" s="32"/>
      <c r="G4" s="33"/>
      <c r="H4" s="33"/>
      <c r="I4" s="33"/>
      <c r="J4" s="34"/>
      <c r="K4" s="35"/>
      <c r="L4" s="35"/>
      <c r="M4" s="33"/>
      <c r="N4" s="33"/>
      <c r="O4" s="36"/>
      <c r="P4" s="37"/>
      <c r="S4" s="24"/>
      <c r="T4" s="25"/>
      <c r="U4" s="25"/>
      <c r="V4" s="25"/>
    </row>
    <row r="5" spans="1:22" ht="12.75" customHeight="1" x14ac:dyDescent="0.3">
      <c r="C5" s="38" t="s">
        <v>2</v>
      </c>
      <c r="D5" s="420" t="s">
        <v>3</v>
      </c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1"/>
      <c r="S5" s="15"/>
      <c r="T5" s="16"/>
      <c r="U5" s="16"/>
      <c r="V5" s="16"/>
    </row>
    <row r="6" spans="1:22" ht="1.2" customHeight="1" x14ac:dyDescent="0.3">
      <c r="C6" s="38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</row>
    <row r="7" spans="1:22" x14ac:dyDescent="0.3">
      <c r="C7" s="38" t="s">
        <v>4</v>
      </c>
      <c r="D7" s="39" t="s">
        <v>5</v>
      </c>
      <c r="E7" s="40"/>
      <c r="F7" s="40"/>
      <c r="G7" s="41"/>
      <c r="H7" s="41"/>
      <c r="I7" s="42"/>
      <c r="J7" s="40"/>
      <c r="K7" s="43"/>
      <c r="L7" s="41" t="s">
        <v>6</v>
      </c>
      <c r="M7" s="44" t="s">
        <v>7</v>
      </c>
      <c r="N7" s="42"/>
      <c r="O7" s="39"/>
      <c r="P7" s="45"/>
    </row>
    <row r="8" spans="1:22" x14ac:dyDescent="0.3">
      <c r="C8" s="38" t="s">
        <v>8</v>
      </c>
      <c r="D8" s="46">
        <v>44608</v>
      </c>
      <c r="E8" s="47"/>
      <c r="F8" s="47"/>
      <c r="G8" s="41"/>
      <c r="H8" s="41"/>
      <c r="I8" s="48"/>
      <c r="J8" s="49"/>
      <c r="K8" s="48"/>
      <c r="L8" s="41" t="s">
        <v>9</v>
      </c>
      <c r="M8" s="44"/>
      <c r="N8" s="50"/>
      <c r="O8" s="51"/>
      <c r="P8" s="45"/>
    </row>
    <row r="9" spans="1:22" x14ac:dyDescent="0.3">
      <c r="C9" s="38" t="s">
        <v>10</v>
      </c>
      <c r="D9" s="52" t="s">
        <v>11</v>
      </c>
      <c r="E9" s="40"/>
      <c r="F9" s="40"/>
      <c r="G9" s="43"/>
      <c r="H9" s="43"/>
      <c r="I9" s="43"/>
      <c r="J9" s="40"/>
      <c r="K9" s="43"/>
      <c r="L9" s="50"/>
      <c r="M9" s="50"/>
      <c r="N9" s="50"/>
      <c r="O9" s="51"/>
      <c r="P9" s="45"/>
    </row>
    <row r="10" spans="1:22" x14ac:dyDescent="0.3">
      <c r="C10" s="38" t="s">
        <v>12</v>
      </c>
      <c r="D10" s="39" t="s">
        <v>1126</v>
      </c>
      <c r="E10" s="40"/>
      <c r="F10" s="40"/>
      <c r="G10" s="43"/>
      <c r="H10" s="43"/>
      <c r="I10" s="43"/>
      <c r="J10" s="40"/>
      <c r="K10" s="43"/>
      <c r="L10" s="50"/>
      <c r="M10" s="50"/>
      <c r="N10" s="53"/>
      <c r="O10" s="47"/>
      <c r="P10" s="45"/>
    </row>
    <row r="11" spans="1:22" s="17" customFormat="1" ht="6" thickBot="1" x14ac:dyDescent="0.35">
      <c r="C11" s="54"/>
      <c r="D11" s="55"/>
      <c r="E11" s="56"/>
      <c r="F11" s="56"/>
      <c r="G11" s="57"/>
      <c r="H11" s="58"/>
      <c r="I11" s="59"/>
      <c r="J11" s="60"/>
      <c r="K11" s="61"/>
      <c r="L11" s="61"/>
      <c r="M11" s="59"/>
      <c r="N11" s="59"/>
      <c r="O11" s="62"/>
      <c r="P11" s="63"/>
    </row>
    <row r="12" spans="1:22" s="17" customFormat="1" ht="6" thickBot="1" x14ac:dyDescent="0.35">
      <c r="C12" s="23"/>
      <c r="D12" s="26"/>
      <c r="E12" s="19"/>
      <c r="F12" s="19"/>
      <c r="G12" s="20"/>
      <c r="H12" s="20"/>
      <c r="I12" s="20"/>
      <c r="J12" s="18"/>
      <c r="K12" s="64"/>
      <c r="L12" s="64"/>
      <c r="M12" s="20"/>
      <c r="N12" s="20"/>
      <c r="P12" s="29"/>
    </row>
    <row r="13" spans="1:22" ht="15" customHeight="1" x14ac:dyDescent="0.3">
      <c r="C13" s="422" t="s">
        <v>13</v>
      </c>
      <c r="D13" s="424" t="s">
        <v>14</v>
      </c>
      <c r="E13" s="426" t="s">
        <v>15</v>
      </c>
      <c r="F13" s="428" t="s">
        <v>16</v>
      </c>
      <c r="G13" s="430" t="s">
        <v>17</v>
      </c>
      <c r="H13" s="430"/>
      <c r="I13" s="430"/>
      <c r="J13" s="428" t="s">
        <v>18</v>
      </c>
      <c r="K13" s="424" t="s">
        <v>19</v>
      </c>
      <c r="L13" s="424"/>
      <c r="M13" s="424"/>
      <c r="N13" s="424"/>
      <c r="O13" s="424"/>
      <c r="P13" s="431" t="s">
        <v>20</v>
      </c>
    </row>
    <row r="14" spans="1:22" ht="14.25" customHeight="1" thickBot="1" x14ac:dyDescent="0.25">
      <c r="A14" s="65" t="s">
        <v>21</v>
      </c>
      <c r="C14" s="423"/>
      <c r="D14" s="425"/>
      <c r="E14" s="427"/>
      <c r="F14" s="429"/>
      <c r="G14" s="66" t="s">
        <v>22</v>
      </c>
      <c r="H14" s="66" t="s">
        <v>23</v>
      </c>
      <c r="I14" s="66" t="s">
        <v>24</v>
      </c>
      <c r="J14" s="429"/>
      <c r="K14" s="66" t="s">
        <v>25</v>
      </c>
      <c r="L14" s="66" t="s">
        <v>26</v>
      </c>
      <c r="M14" s="66" t="s">
        <v>27</v>
      </c>
      <c r="N14" s="66" t="s">
        <v>28</v>
      </c>
      <c r="O14" s="126" t="s">
        <v>29</v>
      </c>
      <c r="P14" s="432"/>
    </row>
    <row r="15" spans="1:22" s="17" customFormat="1" ht="10.199999999999999" customHeight="1" x14ac:dyDescent="0.3">
      <c r="C15" s="68"/>
      <c r="D15" s="69"/>
      <c r="E15" s="70"/>
      <c r="F15" s="70"/>
      <c r="G15" s="71"/>
      <c r="H15" s="71"/>
      <c r="I15" s="71"/>
      <c r="J15" s="72"/>
      <c r="K15" s="73"/>
      <c r="L15" s="73"/>
      <c r="M15" s="71"/>
      <c r="N15" s="71"/>
      <c r="O15" s="72"/>
      <c r="P15" s="74"/>
    </row>
    <row r="16" spans="1:22" s="83" customFormat="1" ht="13.2" x14ac:dyDescent="0.3">
      <c r="A16" s="75"/>
      <c r="B16" s="76"/>
      <c r="C16" s="77"/>
      <c r="D16" s="78" t="s">
        <v>689</v>
      </c>
      <c r="E16" s="79"/>
      <c r="F16" s="80"/>
      <c r="G16" s="81"/>
      <c r="H16" s="81"/>
      <c r="I16" s="81"/>
      <c r="J16" s="80"/>
      <c r="K16" s="82"/>
      <c r="L16" s="82"/>
      <c r="M16" s="82"/>
      <c r="N16" s="82"/>
      <c r="O16" s="82"/>
      <c r="P16" s="82"/>
    </row>
    <row r="17" spans="1:16" s="162" customFormat="1" x14ac:dyDescent="0.2">
      <c r="A17" s="153">
        <v>1</v>
      </c>
      <c r="B17" s="154"/>
      <c r="C17" s="155" t="s">
        <v>1186</v>
      </c>
      <c r="D17" s="156" t="s">
        <v>11</v>
      </c>
      <c r="E17" s="157"/>
      <c r="F17" s="158"/>
      <c r="G17" s="159"/>
      <c r="H17" s="159"/>
      <c r="I17" s="159"/>
      <c r="J17" s="160"/>
      <c r="K17" s="161"/>
      <c r="L17" s="161"/>
      <c r="M17" s="161"/>
      <c r="N17" s="161"/>
      <c r="O17" s="161"/>
      <c r="P17" s="161"/>
    </row>
    <row r="18" spans="1:16" s="169" customFormat="1" x14ac:dyDescent="0.2">
      <c r="A18" s="163">
        <v>2</v>
      </c>
      <c r="B18" s="164"/>
      <c r="C18" s="165" t="s">
        <v>1179</v>
      </c>
      <c r="D18" s="166" t="s">
        <v>89</v>
      </c>
      <c r="E18" s="167"/>
      <c r="F18" s="158"/>
      <c r="G18" s="159"/>
      <c r="H18" s="159"/>
      <c r="I18" s="159"/>
      <c r="J18" s="160"/>
      <c r="K18" s="168"/>
      <c r="L18" s="168"/>
      <c r="M18" s="168"/>
      <c r="N18" s="168"/>
      <c r="O18" s="168"/>
      <c r="P18" s="168"/>
    </row>
    <row r="19" spans="1:16" s="170" customFormat="1" x14ac:dyDescent="0.3">
      <c r="A19" s="170">
        <v>3</v>
      </c>
      <c r="C19" s="99" t="s">
        <v>1180</v>
      </c>
      <c r="D19" s="100" t="s">
        <v>522</v>
      </c>
      <c r="E19" s="101" t="s">
        <v>0</v>
      </c>
      <c r="F19" s="1"/>
      <c r="G19" s="2"/>
      <c r="H19" s="2"/>
      <c r="I19" s="2"/>
      <c r="J19" s="3"/>
      <c r="K19" s="122"/>
      <c r="L19" s="122"/>
      <c r="M19" s="103"/>
      <c r="N19" s="103"/>
      <c r="O19" s="103"/>
      <c r="P19" s="103">
        <f>SUM(L19:L141)</f>
        <v>851.86739999999986</v>
      </c>
    </row>
    <row r="20" spans="1:16" x14ac:dyDescent="0.3">
      <c r="C20" s="118"/>
      <c r="D20" s="137" t="s">
        <v>444</v>
      </c>
      <c r="E20" s="138"/>
      <c r="F20" s="1"/>
      <c r="G20" s="2"/>
      <c r="H20" s="2"/>
      <c r="I20" s="2"/>
      <c r="J20" s="3"/>
      <c r="K20" s="113"/>
      <c r="L20" s="113"/>
      <c r="M20" s="113"/>
      <c r="N20" s="113"/>
      <c r="O20" s="113"/>
      <c r="P20" s="113"/>
    </row>
    <row r="21" spans="1:16" x14ac:dyDescent="0.3">
      <c r="C21" s="106"/>
      <c r="D21" s="140" t="s">
        <v>33</v>
      </c>
      <c r="E21" s="138"/>
      <c r="F21" s="139"/>
      <c r="G21" s="2"/>
      <c r="H21" s="2"/>
      <c r="I21" s="2"/>
      <c r="J21" s="119"/>
      <c r="K21" s="113"/>
      <c r="L21" s="113"/>
      <c r="M21" s="113"/>
      <c r="N21" s="113"/>
      <c r="O21" s="113"/>
      <c r="P21" s="113"/>
    </row>
    <row r="22" spans="1:16" x14ac:dyDescent="0.3">
      <c r="C22" s="114"/>
      <c r="D22" s="238" t="s">
        <v>690</v>
      </c>
      <c r="E22" s="239" t="s">
        <v>0</v>
      </c>
      <c r="F22" s="240">
        <v>1</v>
      </c>
      <c r="G22" s="241">
        <v>0.66</v>
      </c>
      <c r="H22" s="241"/>
      <c r="I22" s="241">
        <v>2.48</v>
      </c>
      <c r="J22" s="242">
        <v>1</v>
      </c>
      <c r="K22" s="237"/>
      <c r="L22" s="237">
        <f t="shared" ref="L22:L61" si="0">PRODUCT(F22:J22)</f>
        <v>1.6368</v>
      </c>
      <c r="M22" s="111"/>
      <c r="N22" s="111"/>
      <c r="O22" s="111"/>
      <c r="P22" s="111"/>
    </row>
    <row r="23" spans="1:16" x14ac:dyDescent="0.3">
      <c r="C23" s="114"/>
      <c r="D23" s="238" t="s">
        <v>691</v>
      </c>
      <c r="E23" s="239" t="s">
        <v>0</v>
      </c>
      <c r="F23" s="240">
        <v>1</v>
      </c>
      <c r="G23" s="241">
        <v>0.48</v>
      </c>
      <c r="H23" s="241"/>
      <c r="I23" s="241">
        <v>2.48</v>
      </c>
      <c r="J23" s="242">
        <v>1</v>
      </c>
      <c r="K23" s="237"/>
      <c r="L23" s="237">
        <f t="shared" si="0"/>
        <v>1.1903999999999999</v>
      </c>
      <c r="M23" s="111"/>
      <c r="N23" s="111"/>
      <c r="O23" s="111"/>
      <c r="P23" s="111"/>
    </row>
    <row r="24" spans="1:16" x14ac:dyDescent="0.3">
      <c r="C24" s="114"/>
      <c r="D24" s="238" t="s">
        <v>692</v>
      </c>
      <c r="E24" s="239" t="s">
        <v>0</v>
      </c>
      <c r="F24" s="240">
        <v>1</v>
      </c>
      <c r="G24" s="241">
        <v>3.91</v>
      </c>
      <c r="H24" s="241"/>
      <c r="I24" s="241">
        <v>2.68</v>
      </c>
      <c r="J24" s="242">
        <v>2</v>
      </c>
      <c r="K24" s="237"/>
      <c r="L24" s="237">
        <f t="shared" si="0"/>
        <v>20.957600000000003</v>
      </c>
      <c r="M24" s="111"/>
      <c r="N24" s="111"/>
      <c r="O24" s="111"/>
      <c r="P24" s="111"/>
    </row>
    <row r="25" spans="1:16" x14ac:dyDescent="0.3">
      <c r="C25" s="114"/>
      <c r="D25" s="238" t="s">
        <v>693</v>
      </c>
      <c r="E25" s="239" t="s">
        <v>0</v>
      </c>
      <c r="F25" s="240">
        <v>1</v>
      </c>
      <c r="G25" s="241">
        <v>2.86</v>
      </c>
      <c r="H25" s="241"/>
      <c r="I25" s="241">
        <v>2.48</v>
      </c>
      <c r="J25" s="242">
        <v>2</v>
      </c>
      <c r="K25" s="237"/>
      <c r="L25" s="237">
        <f t="shared" si="0"/>
        <v>14.185599999999999</v>
      </c>
      <c r="M25" s="111"/>
      <c r="N25" s="111"/>
      <c r="O25" s="111"/>
      <c r="P25" s="111"/>
    </row>
    <row r="26" spans="1:16" x14ac:dyDescent="0.3">
      <c r="C26" s="114"/>
      <c r="D26" s="238" t="s">
        <v>694</v>
      </c>
      <c r="E26" s="239" t="s">
        <v>0</v>
      </c>
      <c r="F26" s="240">
        <v>1</v>
      </c>
      <c r="G26" s="241">
        <v>2.4300000000000002</v>
      </c>
      <c r="H26" s="241"/>
      <c r="I26" s="241">
        <v>2.48</v>
      </c>
      <c r="J26" s="242">
        <v>2</v>
      </c>
      <c r="K26" s="237"/>
      <c r="L26" s="237">
        <f>PRODUCT(F26:J26)</f>
        <v>12.052800000000001</v>
      </c>
      <c r="M26" s="111"/>
      <c r="N26" s="111"/>
      <c r="O26" s="111"/>
      <c r="P26" s="111"/>
    </row>
    <row r="27" spans="1:16" x14ac:dyDescent="0.3">
      <c r="C27" s="114"/>
      <c r="D27" s="238" t="s">
        <v>695</v>
      </c>
      <c r="E27" s="239" t="s">
        <v>0</v>
      </c>
      <c r="F27" s="240">
        <v>1</v>
      </c>
      <c r="G27" s="241">
        <v>2.5</v>
      </c>
      <c r="H27" s="241"/>
      <c r="I27" s="241">
        <v>2.08</v>
      </c>
      <c r="J27" s="242">
        <v>1</v>
      </c>
      <c r="K27" s="237"/>
      <c r="L27" s="237">
        <f t="shared" si="0"/>
        <v>5.2</v>
      </c>
      <c r="M27" s="111"/>
      <c r="N27" s="111"/>
      <c r="O27" s="111"/>
      <c r="P27" s="111"/>
    </row>
    <row r="28" spans="1:16" x14ac:dyDescent="0.3">
      <c r="C28" s="114"/>
      <c r="D28" s="238" t="s">
        <v>696</v>
      </c>
      <c r="E28" s="239" t="s">
        <v>0</v>
      </c>
      <c r="F28" s="240">
        <v>1</v>
      </c>
      <c r="G28" s="241">
        <v>2.5</v>
      </c>
      <c r="H28" s="241"/>
      <c r="I28" s="241">
        <v>2.08</v>
      </c>
      <c r="J28" s="242">
        <v>1</v>
      </c>
      <c r="K28" s="237"/>
      <c r="L28" s="237">
        <f t="shared" si="0"/>
        <v>5.2</v>
      </c>
      <c r="M28" s="111"/>
      <c r="N28" s="111"/>
      <c r="O28" s="111"/>
      <c r="P28" s="111"/>
    </row>
    <row r="29" spans="1:16" x14ac:dyDescent="0.3">
      <c r="C29" s="114"/>
      <c r="D29" s="238" t="s">
        <v>697</v>
      </c>
      <c r="E29" s="239" t="s">
        <v>0</v>
      </c>
      <c r="F29" s="240">
        <v>1</v>
      </c>
      <c r="G29" s="241">
        <v>2.2999999999999998</v>
      </c>
      <c r="H29" s="241"/>
      <c r="I29" s="241">
        <v>1.83</v>
      </c>
      <c r="J29" s="242">
        <v>1</v>
      </c>
      <c r="K29" s="237"/>
      <c r="L29" s="237">
        <f t="shared" si="0"/>
        <v>4.2089999999999996</v>
      </c>
      <c r="M29" s="111"/>
      <c r="N29" s="111"/>
      <c r="O29" s="111"/>
      <c r="P29" s="111"/>
    </row>
    <row r="30" spans="1:16" x14ac:dyDescent="0.3">
      <c r="C30" s="114"/>
      <c r="D30" s="238" t="s">
        <v>698</v>
      </c>
      <c r="E30" s="239" t="s">
        <v>0</v>
      </c>
      <c r="F30" s="240">
        <v>1</v>
      </c>
      <c r="G30" s="241">
        <v>2.2999999999999998</v>
      </c>
      <c r="H30" s="241"/>
      <c r="I30" s="241">
        <v>1.1000000000000001</v>
      </c>
      <c r="J30" s="242">
        <v>1</v>
      </c>
      <c r="K30" s="237"/>
      <c r="L30" s="237">
        <f t="shared" si="0"/>
        <v>2.5299999999999998</v>
      </c>
      <c r="M30" s="111"/>
      <c r="N30" s="111"/>
      <c r="O30" s="111"/>
      <c r="P30" s="111"/>
    </row>
    <row r="31" spans="1:16" x14ac:dyDescent="0.3">
      <c r="C31" s="114"/>
      <c r="D31" s="238" t="s">
        <v>699</v>
      </c>
      <c r="E31" s="239" t="s">
        <v>0</v>
      </c>
      <c r="F31" s="240">
        <v>1</v>
      </c>
      <c r="G31" s="241">
        <v>1.63</v>
      </c>
      <c r="H31" s="241"/>
      <c r="I31" s="241">
        <v>1.83</v>
      </c>
      <c r="J31" s="242">
        <v>1</v>
      </c>
      <c r="K31" s="237"/>
      <c r="L31" s="237">
        <f t="shared" si="0"/>
        <v>2.9828999999999999</v>
      </c>
      <c r="M31" s="111"/>
      <c r="N31" s="111"/>
      <c r="O31" s="111"/>
      <c r="P31" s="111"/>
    </row>
    <row r="32" spans="1:16" x14ac:dyDescent="0.3">
      <c r="C32" s="114"/>
      <c r="D32" s="238" t="s">
        <v>700</v>
      </c>
      <c r="E32" s="239" t="s">
        <v>0</v>
      </c>
      <c r="F32" s="240">
        <v>1</v>
      </c>
      <c r="G32" s="241">
        <v>1.63</v>
      </c>
      <c r="H32" s="241"/>
      <c r="I32" s="241">
        <v>1.1000000000000001</v>
      </c>
      <c r="J32" s="242">
        <v>1</v>
      </c>
      <c r="K32" s="237"/>
      <c r="L32" s="237">
        <f t="shared" si="0"/>
        <v>1.7929999999999999</v>
      </c>
      <c r="M32" s="111"/>
      <c r="N32" s="111"/>
      <c r="O32" s="111"/>
      <c r="P32" s="111"/>
    </row>
    <row r="33" spans="3:16" x14ac:dyDescent="0.3">
      <c r="C33" s="114"/>
      <c r="D33" s="238" t="s">
        <v>701</v>
      </c>
      <c r="E33" s="239" t="s">
        <v>0</v>
      </c>
      <c r="F33" s="240">
        <v>1</v>
      </c>
      <c r="G33" s="241">
        <v>1.08</v>
      </c>
      <c r="H33" s="241"/>
      <c r="I33" s="241">
        <v>1.83</v>
      </c>
      <c r="J33" s="242">
        <v>1</v>
      </c>
      <c r="K33" s="237"/>
      <c r="L33" s="237">
        <f t="shared" si="0"/>
        <v>1.9764000000000002</v>
      </c>
      <c r="M33" s="111"/>
      <c r="N33" s="111"/>
      <c r="O33" s="111"/>
      <c r="P33" s="111"/>
    </row>
    <row r="34" spans="3:16" x14ac:dyDescent="0.3">
      <c r="C34" s="114"/>
      <c r="D34" s="238" t="s">
        <v>702</v>
      </c>
      <c r="E34" s="239" t="s">
        <v>0</v>
      </c>
      <c r="F34" s="240">
        <v>1</v>
      </c>
      <c r="G34" s="241">
        <v>2.2999999999999998</v>
      </c>
      <c r="H34" s="241"/>
      <c r="I34" s="241">
        <v>1.1000000000000001</v>
      </c>
      <c r="J34" s="242">
        <v>1</v>
      </c>
      <c r="K34" s="237"/>
      <c r="L34" s="237">
        <f t="shared" si="0"/>
        <v>2.5299999999999998</v>
      </c>
      <c r="M34" s="111"/>
      <c r="N34" s="111"/>
      <c r="O34" s="111"/>
      <c r="P34" s="111"/>
    </row>
    <row r="35" spans="3:16" x14ac:dyDescent="0.3">
      <c r="C35" s="114"/>
      <c r="D35" s="238" t="s">
        <v>703</v>
      </c>
      <c r="E35" s="239" t="s">
        <v>0</v>
      </c>
      <c r="F35" s="240">
        <v>1</v>
      </c>
      <c r="G35" s="241">
        <v>4.49</v>
      </c>
      <c r="H35" s="241"/>
      <c r="I35" s="241">
        <v>2.48</v>
      </c>
      <c r="J35" s="242">
        <v>2</v>
      </c>
      <c r="K35" s="237"/>
      <c r="L35" s="237">
        <f t="shared" si="0"/>
        <v>22.270400000000002</v>
      </c>
      <c r="M35" s="111"/>
      <c r="N35" s="111"/>
      <c r="O35" s="111"/>
      <c r="P35" s="111"/>
    </row>
    <row r="36" spans="3:16" x14ac:dyDescent="0.3">
      <c r="C36" s="114"/>
      <c r="D36" s="238" t="s">
        <v>704</v>
      </c>
      <c r="E36" s="239" t="s">
        <v>0</v>
      </c>
      <c r="F36" s="240">
        <v>1</v>
      </c>
      <c r="G36" s="241">
        <v>6.11</v>
      </c>
      <c r="H36" s="241"/>
      <c r="I36" s="241">
        <v>2.88</v>
      </c>
      <c r="J36" s="242">
        <v>2</v>
      </c>
      <c r="K36" s="237"/>
      <c r="L36" s="237">
        <f t="shared" si="0"/>
        <v>35.193600000000004</v>
      </c>
      <c r="M36" s="111"/>
      <c r="N36" s="111"/>
      <c r="O36" s="111"/>
      <c r="P36" s="111"/>
    </row>
    <row r="37" spans="3:16" x14ac:dyDescent="0.3">
      <c r="C37" s="114"/>
      <c r="D37" s="238" t="s">
        <v>705</v>
      </c>
      <c r="E37" s="239" t="s">
        <v>0</v>
      </c>
      <c r="F37" s="240">
        <v>1</v>
      </c>
      <c r="G37" s="241">
        <f>1.34+1.32</f>
        <v>2.66</v>
      </c>
      <c r="H37" s="241"/>
      <c r="I37" s="241">
        <v>2.68</v>
      </c>
      <c r="J37" s="242">
        <v>1</v>
      </c>
      <c r="K37" s="237"/>
      <c r="L37" s="237">
        <f t="shared" si="0"/>
        <v>7.1288000000000009</v>
      </c>
      <c r="M37" s="111"/>
      <c r="N37" s="111"/>
      <c r="O37" s="111"/>
      <c r="P37" s="111"/>
    </row>
    <row r="38" spans="3:16" x14ac:dyDescent="0.3">
      <c r="C38" s="114"/>
      <c r="D38" s="238" t="s">
        <v>706</v>
      </c>
      <c r="E38" s="239" t="s">
        <v>0</v>
      </c>
      <c r="F38" s="240">
        <v>1</v>
      </c>
      <c r="G38" s="241">
        <v>1.4</v>
      </c>
      <c r="H38" s="241"/>
      <c r="I38" s="241">
        <v>2.68</v>
      </c>
      <c r="J38" s="242">
        <v>1</v>
      </c>
      <c r="K38" s="237"/>
      <c r="L38" s="237">
        <f t="shared" si="0"/>
        <v>3.7519999999999998</v>
      </c>
      <c r="M38" s="111"/>
      <c r="N38" s="111"/>
      <c r="O38" s="111"/>
      <c r="P38" s="111"/>
    </row>
    <row r="39" spans="3:16" x14ac:dyDescent="0.3">
      <c r="C39" s="114"/>
      <c r="D39" s="238" t="s">
        <v>707</v>
      </c>
      <c r="E39" s="239" t="s">
        <v>0</v>
      </c>
      <c r="F39" s="240">
        <v>1</v>
      </c>
      <c r="G39" s="241">
        <v>2.2999999999999998</v>
      </c>
      <c r="H39" s="241"/>
      <c r="I39" s="241">
        <v>1.83</v>
      </c>
      <c r="J39" s="242">
        <v>1</v>
      </c>
      <c r="K39" s="237"/>
      <c r="L39" s="237">
        <f t="shared" si="0"/>
        <v>4.2089999999999996</v>
      </c>
      <c r="M39" s="111"/>
      <c r="N39" s="111"/>
      <c r="O39" s="111"/>
      <c r="P39" s="111"/>
    </row>
    <row r="40" spans="3:16" x14ac:dyDescent="0.3">
      <c r="C40" s="114"/>
      <c r="D40" s="238" t="s">
        <v>708</v>
      </c>
      <c r="E40" s="239" t="s">
        <v>0</v>
      </c>
      <c r="F40" s="240">
        <v>1</v>
      </c>
      <c r="G40" s="241">
        <v>2.2999999999999998</v>
      </c>
      <c r="H40" s="241"/>
      <c r="I40" s="241">
        <v>1.1000000000000001</v>
      </c>
      <c r="J40" s="242">
        <v>1</v>
      </c>
      <c r="K40" s="237"/>
      <c r="L40" s="237">
        <f t="shared" si="0"/>
        <v>2.5299999999999998</v>
      </c>
      <c r="M40" s="111"/>
      <c r="N40" s="111"/>
      <c r="O40" s="111"/>
      <c r="P40" s="111"/>
    </row>
    <row r="41" spans="3:16" x14ac:dyDescent="0.3">
      <c r="C41" s="114"/>
      <c r="D41" s="238" t="s">
        <v>709</v>
      </c>
      <c r="E41" s="239" t="s">
        <v>0</v>
      </c>
      <c r="F41" s="240">
        <v>1</v>
      </c>
      <c r="G41" s="241">
        <v>1.08</v>
      </c>
      <c r="H41" s="241"/>
      <c r="I41" s="241">
        <v>1.83</v>
      </c>
      <c r="J41" s="242">
        <v>1</v>
      </c>
      <c r="K41" s="237"/>
      <c r="L41" s="237">
        <f t="shared" si="0"/>
        <v>1.9764000000000002</v>
      </c>
      <c r="M41" s="111"/>
      <c r="N41" s="111"/>
      <c r="O41" s="111"/>
      <c r="P41" s="111"/>
    </row>
    <row r="42" spans="3:16" x14ac:dyDescent="0.3">
      <c r="C42" s="114"/>
      <c r="D42" s="238"/>
      <c r="E42" s="239" t="s">
        <v>0</v>
      </c>
      <c r="F42" s="240">
        <v>1</v>
      </c>
      <c r="G42" s="241">
        <v>0.51</v>
      </c>
      <c r="H42" s="241"/>
      <c r="I42" s="241">
        <v>2.68</v>
      </c>
      <c r="J42" s="242">
        <v>1</v>
      </c>
      <c r="K42" s="237"/>
      <c r="L42" s="237">
        <f t="shared" si="0"/>
        <v>1.3668</v>
      </c>
      <c r="M42" s="111"/>
      <c r="N42" s="111"/>
      <c r="O42" s="111"/>
      <c r="P42" s="111"/>
    </row>
    <row r="43" spans="3:16" x14ac:dyDescent="0.3">
      <c r="C43" s="114"/>
      <c r="D43" s="238" t="s">
        <v>710</v>
      </c>
      <c r="E43" s="239" t="s">
        <v>0</v>
      </c>
      <c r="F43" s="240">
        <v>1</v>
      </c>
      <c r="G43" s="241">
        <v>2.2999999999999998</v>
      </c>
      <c r="H43" s="241"/>
      <c r="I43" s="241">
        <v>1.1000000000000001</v>
      </c>
      <c r="J43" s="242">
        <v>1</v>
      </c>
      <c r="K43" s="237"/>
      <c r="L43" s="237">
        <f t="shared" si="0"/>
        <v>2.5299999999999998</v>
      </c>
      <c r="M43" s="111"/>
      <c r="N43" s="111"/>
      <c r="O43" s="111"/>
      <c r="P43" s="111"/>
    </row>
    <row r="44" spans="3:16" x14ac:dyDescent="0.3">
      <c r="C44" s="114"/>
      <c r="D44" s="238"/>
      <c r="E44" s="239" t="s">
        <v>0</v>
      </c>
      <c r="F44" s="240">
        <v>1</v>
      </c>
      <c r="G44" s="241">
        <v>0.5</v>
      </c>
      <c r="H44" s="241"/>
      <c r="I44" s="241">
        <v>2.68</v>
      </c>
      <c r="J44" s="242">
        <v>1</v>
      </c>
      <c r="K44" s="237"/>
      <c r="L44" s="237">
        <f t="shared" si="0"/>
        <v>1.34</v>
      </c>
      <c r="M44" s="111"/>
      <c r="N44" s="111"/>
      <c r="O44" s="111"/>
      <c r="P44" s="111"/>
    </row>
    <row r="45" spans="3:16" x14ac:dyDescent="0.3">
      <c r="C45" s="114"/>
      <c r="D45" s="238" t="s">
        <v>711</v>
      </c>
      <c r="E45" s="239" t="s">
        <v>0</v>
      </c>
      <c r="F45" s="240">
        <v>1</v>
      </c>
      <c r="G45" s="241">
        <v>1</v>
      </c>
      <c r="H45" s="241"/>
      <c r="I45" s="241">
        <v>2.48</v>
      </c>
      <c r="J45" s="242">
        <v>1</v>
      </c>
      <c r="K45" s="237"/>
      <c r="L45" s="237">
        <f>PRODUCT(F45:J45)</f>
        <v>2.48</v>
      </c>
      <c r="M45" s="111"/>
      <c r="N45" s="111"/>
      <c r="O45" s="111"/>
      <c r="P45" s="111"/>
    </row>
    <row r="46" spans="3:16" x14ac:dyDescent="0.3">
      <c r="C46" s="114"/>
      <c r="D46" s="238" t="s">
        <v>712</v>
      </c>
      <c r="E46" s="239" t="s">
        <v>0</v>
      </c>
      <c r="F46" s="240">
        <v>1</v>
      </c>
      <c r="G46" s="241">
        <v>2.86</v>
      </c>
      <c r="H46" s="241"/>
      <c r="I46" s="241">
        <v>2.48</v>
      </c>
      <c r="J46" s="242">
        <v>2</v>
      </c>
      <c r="K46" s="237"/>
      <c r="L46" s="237">
        <f t="shared" si="0"/>
        <v>14.185599999999999</v>
      </c>
      <c r="M46" s="111"/>
      <c r="N46" s="111"/>
      <c r="O46" s="111"/>
      <c r="P46" s="111"/>
    </row>
    <row r="47" spans="3:16" x14ac:dyDescent="0.3">
      <c r="C47" s="114"/>
      <c r="D47" s="238" t="s">
        <v>713</v>
      </c>
      <c r="E47" s="239" t="s">
        <v>0</v>
      </c>
      <c r="F47" s="240">
        <v>1</v>
      </c>
      <c r="G47" s="241">
        <v>2.4300000000000002</v>
      </c>
      <c r="H47" s="241"/>
      <c r="I47" s="241">
        <v>2.48</v>
      </c>
      <c r="J47" s="242">
        <v>2</v>
      </c>
      <c r="K47" s="237"/>
      <c r="L47" s="237">
        <f t="shared" si="0"/>
        <v>12.052800000000001</v>
      </c>
      <c r="M47" s="111"/>
      <c r="N47" s="111"/>
      <c r="O47" s="111"/>
      <c r="P47" s="111"/>
    </row>
    <row r="48" spans="3:16" x14ac:dyDescent="0.3">
      <c r="C48" s="114"/>
      <c r="D48" s="238" t="s">
        <v>714</v>
      </c>
      <c r="E48" s="239" t="s">
        <v>0</v>
      </c>
      <c r="F48" s="240">
        <v>1</v>
      </c>
      <c r="G48" s="241">
        <v>2.2000000000000002</v>
      </c>
      <c r="H48" s="241"/>
      <c r="I48" s="241">
        <v>2.48</v>
      </c>
      <c r="J48" s="242">
        <v>2</v>
      </c>
      <c r="K48" s="237"/>
      <c r="L48" s="237">
        <f t="shared" si="0"/>
        <v>10.912000000000001</v>
      </c>
      <c r="M48" s="111"/>
      <c r="N48" s="111"/>
      <c r="O48" s="111"/>
      <c r="P48" s="111"/>
    </row>
    <row r="49" spans="3:16" x14ac:dyDescent="0.3">
      <c r="C49" s="114"/>
      <c r="D49" s="238" t="s">
        <v>715</v>
      </c>
      <c r="E49" s="239" t="s">
        <v>0</v>
      </c>
      <c r="F49" s="240">
        <v>1</v>
      </c>
      <c r="G49" s="241">
        <v>2.86</v>
      </c>
      <c r="H49" s="241"/>
      <c r="I49" s="241">
        <v>2.48</v>
      </c>
      <c r="J49" s="242">
        <v>2</v>
      </c>
      <c r="K49" s="237"/>
      <c r="L49" s="237">
        <f t="shared" si="0"/>
        <v>14.185599999999999</v>
      </c>
      <c r="M49" s="111"/>
      <c r="N49" s="111"/>
      <c r="O49" s="111"/>
      <c r="P49" s="111"/>
    </row>
    <row r="50" spans="3:16" x14ac:dyDescent="0.3">
      <c r="C50" s="114"/>
      <c r="D50" s="238" t="s">
        <v>716</v>
      </c>
      <c r="E50" s="239" t="s">
        <v>0</v>
      </c>
      <c r="F50" s="240">
        <v>1</v>
      </c>
      <c r="G50" s="241">
        <v>1.73</v>
      </c>
      <c r="H50" s="241"/>
      <c r="I50" s="241">
        <v>2.48</v>
      </c>
      <c r="J50" s="242">
        <v>2</v>
      </c>
      <c r="K50" s="237"/>
      <c r="L50" s="237">
        <f t="shared" si="0"/>
        <v>8.5808</v>
      </c>
      <c r="M50" s="111"/>
      <c r="N50" s="111"/>
      <c r="O50" s="111"/>
      <c r="P50" s="111"/>
    </row>
    <row r="51" spans="3:16" x14ac:dyDescent="0.3">
      <c r="C51" s="114"/>
      <c r="D51" s="238" t="s">
        <v>717</v>
      </c>
      <c r="E51" s="239" t="s">
        <v>0</v>
      </c>
      <c r="F51" s="240">
        <v>1</v>
      </c>
      <c r="G51" s="241">
        <v>2.2000000000000002</v>
      </c>
      <c r="H51" s="241"/>
      <c r="I51" s="241">
        <v>2.48</v>
      </c>
      <c r="J51" s="242">
        <v>1</v>
      </c>
      <c r="K51" s="237"/>
      <c r="L51" s="237">
        <f t="shared" si="0"/>
        <v>5.4560000000000004</v>
      </c>
      <c r="M51" s="111"/>
      <c r="N51" s="111"/>
      <c r="O51" s="111"/>
      <c r="P51" s="111"/>
    </row>
    <row r="52" spans="3:16" x14ac:dyDescent="0.3">
      <c r="C52" s="114"/>
      <c r="D52" s="238" t="s">
        <v>718</v>
      </c>
      <c r="E52" s="239" t="s">
        <v>0</v>
      </c>
      <c r="F52" s="240">
        <v>1</v>
      </c>
      <c r="G52" s="241">
        <f>0.18+0.33</f>
        <v>0.51</v>
      </c>
      <c r="H52" s="241"/>
      <c r="I52" s="241">
        <v>2.48</v>
      </c>
      <c r="J52" s="242">
        <v>1</v>
      </c>
      <c r="K52" s="237"/>
      <c r="L52" s="237">
        <f t="shared" si="0"/>
        <v>1.2647999999999999</v>
      </c>
      <c r="M52" s="111"/>
      <c r="N52" s="111"/>
      <c r="O52" s="111"/>
      <c r="P52" s="111"/>
    </row>
    <row r="53" spans="3:16" x14ac:dyDescent="0.3">
      <c r="C53" s="114"/>
      <c r="D53" s="238" t="s">
        <v>719</v>
      </c>
      <c r="E53" s="239" t="s">
        <v>0</v>
      </c>
      <c r="F53" s="240">
        <v>1</v>
      </c>
      <c r="G53" s="241">
        <v>1.18</v>
      </c>
      <c r="H53" s="241"/>
      <c r="I53" s="241">
        <v>2.48</v>
      </c>
      <c r="J53" s="242">
        <v>1</v>
      </c>
      <c r="K53" s="237"/>
      <c r="L53" s="237">
        <f t="shared" si="0"/>
        <v>2.9263999999999997</v>
      </c>
      <c r="M53" s="111"/>
      <c r="N53" s="111"/>
      <c r="O53" s="111"/>
      <c r="P53" s="111"/>
    </row>
    <row r="54" spans="3:16" x14ac:dyDescent="0.3">
      <c r="C54" s="114"/>
      <c r="D54" s="238" t="s">
        <v>720</v>
      </c>
      <c r="E54" s="239" t="s">
        <v>0</v>
      </c>
      <c r="F54" s="240">
        <v>1</v>
      </c>
      <c r="G54" s="241">
        <v>2.83</v>
      </c>
      <c r="H54" s="241"/>
      <c r="I54" s="241">
        <v>1.83</v>
      </c>
      <c r="J54" s="242">
        <v>1</v>
      </c>
      <c r="K54" s="237"/>
      <c r="L54" s="237">
        <f t="shared" si="0"/>
        <v>5.1789000000000005</v>
      </c>
      <c r="M54" s="111"/>
      <c r="N54" s="111"/>
      <c r="O54" s="111"/>
      <c r="P54" s="111"/>
    </row>
    <row r="55" spans="3:16" x14ac:dyDescent="0.3">
      <c r="C55" s="114"/>
      <c r="D55" s="238" t="s">
        <v>721</v>
      </c>
      <c r="E55" s="239" t="s">
        <v>0</v>
      </c>
      <c r="F55" s="240">
        <v>1</v>
      </c>
      <c r="G55" s="241">
        <v>2.7</v>
      </c>
      <c r="H55" s="241"/>
      <c r="I55" s="241">
        <v>1.83</v>
      </c>
      <c r="J55" s="242">
        <v>1</v>
      </c>
      <c r="K55" s="237"/>
      <c r="L55" s="237">
        <f t="shared" si="0"/>
        <v>4.9410000000000007</v>
      </c>
      <c r="M55" s="111"/>
      <c r="N55" s="111"/>
      <c r="O55" s="111"/>
      <c r="P55" s="111"/>
    </row>
    <row r="56" spans="3:16" x14ac:dyDescent="0.3">
      <c r="C56" s="114"/>
      <c r="D56" s="238"/>
      <c r="E56" s="239" t="s">
        <v>0</v>
      </c>
      <c r="F56" s="240">
        <v>1</v>
      </c>
      <c r="G56" s="241">
        <f>0.79+1.92</f>
        <v>2.71</v>
      </c>
      <c r="H56" s="241"/>
      <c r="I56" s="241">
        <v>2.68</v>
      </c>
      <c r="J56" s="242">
        <v>1</v>
      </c>
      <c r="K56" s="237"/>
      <c r="L56" s="237">
        <f t="shared" si="0"/>
        <v>7.2628000000000004</v>
      </c>
      <c r="M56" s="111"/>
      <c r="N56" s="111"/>
      <c r="O56" s="111"/>
      <c r="P56" s="111"/>
    </row>
    <row r="57" spans="3:16" x14ac:dyDescent="0.3">
      <c r="C57" s="114"/>
      <c r="D57" s="238" t="s">
        <v>722</v>
      </c>
      <c r="E57" s="239" t="s">
        <v>0</v>
      </c>
      <c r="F57" s="240">
        <v>2</v>
      </c>
      <c r="G57" s="241">
        <v>3.98</v>
      </c>
      <c r="H57" s="241"/>
      <c r="I57" s="241">
        <v>2.88</v>
      </c>
      <c r="J57" s="242">
        <v>2</v>
      </c>
      <c r="K57" s="237"/>
      <c r="L57" s="237">
        <f t="shared" si="0"/>
        <v>45.849599999999995</v>
      </c>
      <c r="M57" s="111"/>
      <c r="N57" s="111"/>
      <c r="O57" s="111"/>
      <c r="P57" s="111"/>
    </row>
    <row r="58" spans="3:16" x14ac:dyDescent="0.3">
      <c r="C58" s="114"/>
      <c r="D58" s="238" t="s">
        <v>723</v>
      </c>
      <c r="E58" s="239" t="s">
        <v>0</v>
      </c>
      <c r="F58" s="240">
        <v>1</v>
      </c>
      <c r="G58" s="241">
        <f>1.3+1.25</f>
        <v>2.5499999999999998</v>
      </c>
      <c r="H58" s="241"/>
      <c r="I58" s="241">
        <v>2.08</v>
      </c>
      <c r="J58" s="242">
        <v>1</v>
      </c>
      <c r="K58" s="237"/>
      <c r="L58" s="237">
        <f t="shared" si="0"/>
        <v>5.3039999999999994</v>
      </c>
      <c r="M58" s="111"/>
      <c r="N58" s="111"/>
      <c r="O58" s="111"/>
      <c r="P58" s="111"/>
    </row>
    <row r="59" spans="3:16" x14ac:dyDescent="0.3">
      <c r="C59" s="114"/>
      <c r="D59" s="238"/>
      <c r="E59" s="239" t="s">
        <v>0</v>
      </c>
      <c r="F59" s="240">
        <v>1</v>
      </c>
      <c r="G59" s="241">
        <v>1.4</v>
      </c>
      <c r="H59" s="241"/>
      <c r="I59" s="241">
        <v>1.1000000000000001</v>
      </c>
      <c r="J59" s="242">
        <v>1</v>
      </c>
      <c r="K59" s="237"/>
      <c r="L59" s="237">
        <f t="shared" si="0"/>
        <v>1.54</v>
      </c>
      <c r="M59" s="111"/>
      <c r="N59" s="111"/>
      <c r="O59" s="111"/>
      <c r="P59" s="111"/>
    </row>
    <row r="60" spans="3:16" x14ac:dyDescent="0.3">
      <c r="C60" s="114"/>
      <c r="D60" s="238" t="s">
        <v>724</v>
      </c>
      <c r="E60" s="239" t="s">
        <v>0</v>
      </c>
      <c r="F60" s="240">
        <v>1</v>
      </c>
      <c r="G60" s="241">
        <v>2.87</v>
      </c>
      <c r="H60" s="241"/>
      <c r="I60" s="241">
        <v>2.68</v>
      </c>
      <c r="J60" s="242">
        <v>2</v>
      </c>
      <c r="K60" s="237"/>
      <c r="L60" s="237">
        <f t="shared" si="0"/>
        <v>15.383200000000002</v>
      </c>
      <c r="M60" s="111"/>
      <c r="N60" s="111"/>
      <c r="O60" s="111"/>
      <c r="P60" s="111"/>
    </row>
    <row r="61" spans="3:16" x14ac:dyDescent="0.3">
      <c r="C61" s="114"/>
      <c r="D61" s="238" t="s">
        <v>725</v>
      </c>
      <c r="E61" s="239" t="s">
        <v>0</v>
      </c>
      <c r="F61" s="240">
        <v>1</v>
      </c>
      <c r="G61" s="241">
        <f>2.04+2.73</f>
        <v>4.7699999999999996</v>
      </c>
      <c r="H61" s="241"/>
      <c r="I61" s="241">
        <v>2.88</v>
      </c>
      <c r="J61" s="242">
        <v>2</v>
      </c>
      <c r="K61" s="237"/>
      <c r="L61" s="237">
        <f t="shared" si="0"/>
        <v>27.475199999999997</v>
      </c>
      <c r="M61" s="111"/>
      <c r="N61" s="111"/>
      <c r="O61" s="111"/>
      <c r="P61" s="111"/>
    </row>
    <row r="62" spans="3:16" x14ac:dyDescent="0.3">
      <c r="C62" s="114"/>
      <c r="D62" s="238" t="s">
        <v>726</v>
      </c>
      <c r="E62" s="239" t="s">
        <v>0</v>
      </c>
      <c r="F62" s="240">
        <v>1</v>
      </c>
      <c r="G62" s="241">
        <v>2.63</v>
      </c>
      <c r="H62" s="241"/>
      <c r="I62" s="241">
        <v>1.1000000000000001</v>
      </c>
      <c r="J62" s="242">
        <v>1</v>
      </c>
      <c r="K62" s="237"/>
      <c r="L62" s="237">
        <f>PRODUCT(F62:J62)</f>
        <v>2.8930000000000002</v>
      </c>
      <c r="M62" s="111"/>
      <c r="N62" s="111"/>
      <c r="O62" s="111"/>
      <c r="P62" s="111"/>
    </row>
    <row r="63" spans="3:16" x14ac:dyDescent="0.3">
      <c r="C63" s="114"/>
      <c r="D63" s="259" t="s">
        <v>68</v>
      </c>
      <c r="E63" s="262"/>
      <c r="F63" s="277"/>
      <c r="G63" s="230"/>
      <c r="H63" s="230"/>
      <c r="I63" s="230"/>
      <c r="J63" s="277"/>
      <c r="K63" s="231"/>
      <c r="L63" s="231"/>
      <c r="M63" s="111"/>
      <c r="N63" s="111"/>
      <c r="O63" s="111"/>
      <c r="P63" s="111"/>
    </row>
    <row r="64" spans="3:16" x14ac:dyDescent="0.3">
      <c r="C64" s="114"/>
      <c r="D64" s="238" t="s">
        <v>690</v>
      </c>
      <c r="E64" s="239" t="s">
        <v>0</v>
      </c>
      <c r="F64" s="240">
        <v>1</v>
      </c>
      <c r="G64" s="241">
        <v>1.96</v>
      </c>
      <c r="H64" s="241"/>
      <c r="I64" s="241">
        <v>1.88</v>
      </c>
      <c r="J64" s="242">
        <v>1</v>
      </c>
      <c r="K64" s="237"/>
      <c r="L64" s="237">
        <f t="shared" ref="L64:L101" si="1">PRODUCT(F64:J64)</f>
        <v>3.6847999999999996</v>
      </c>
      <c r="M64" s="111"/>
      <c r="N64" s="111"/>
      <c r="O64" s="111"/>
      <c r="P64" s="111"/>
    </row>
    <row r="65" spans="3:16" x14ac:dyDescent="0.3">
      <c r="C65" s="114"/>
      <c r="D65" s="238" t="s">
        <v>727</v>
      </c>
      <c r="E65" s="239" t="s">
        <v>0</v>
      </c>
      <c r="F65" s="240">
        <v>1</v>
      </c>
      <c r="G65" s="241">
        <v>1.18</v>
      </c>
      <c r="H65" s="241"/>
      <c r="I65" s="241">
        <v>1.88</v>
      </c>
      <c r="J65" s="242">
        <v>1</v>
      </c>
      <c r="K65" s="237"/>
      <c r="L65" s="237">
        <f t="shared" si="1"/>
        <v>2.2183999999999999</v>
      </c>
      <c r="M65" s="111"/>
      <c r="N65" s="111"/>
      <c r="O65" s="111"/>
      <c r="P65" s="111"/>
    </row>
    <row r="66" spans="3:16" x14ac:dyDescent="0.3">
      <c r="C66" s="114"/>
      <c r="D66" s="238" t="s">
        <v>693</v>
      </c>
      <c r="E66" s="239" t="s">
        <v>0</v>
      </c>
      <c r="F66" s="240">
        <v>1</v>
      </c>
      <c r="G66" s="241">
        <v>2.61</v>
      </c>
      <c r="H66" s="241"/>
      <c r="I66" s="241">
        <v>2.48</v>
      </c>
      <c r="J66" s="242">
        <v>2</v>
      </c>
      <c r="K66" s="237"/>
      <c r="L66" s="237">
        <f t="shared" si="1"/>
        <v>12.945599999999999</v>
      </c>
      <c r="M66" s="111"/>
      <c r="N66" s="111"/>
      <c r="O66" s="111"/>
      <c r="P66" s="111"/>
    </row>
    <row r="67" spans="3:16" x14ac:dyDescent="0.3">
      <c r="C67" s="114"/>
      <c r="D67" s="238" t="s">
        <v>694</v>
      </c>
      <c r="E67" s="239" t="s">
        <v>0</v>
      </c>
      <c r="F67" s="240">
        <v>1</v>
      </c>
      <c r="G67" s="241">
        <v>2.68</v>
      </c>
      <c r="H67" s="241"/>
      <c r="I67" s="241">
        <v>2.48</v>
      </c>
      <c r="J67" s="242">
        <v>2</v>
      </c>
      <c r="K67" s="237"/>
      <c r="L67" s="237">
        <f t="shared" si="1"/>
        <v>13.292800000000002</v>
      </c>
      <c r="M67" s="111"/>
      <c r="N67" s="111"/>
      <c r="O67" s="111"/>
      <c r="P67" s="111"/>
    </row>
    <row r="68" spans="3:16" x14ac:dyDescent="0.3">
      <c r="C68" s="114"/>
      <c r="D68" s="238" t="s">
        <v>703</v>
      </c>
      <c r="E68" s="239" t="s">
        <v>0</v>
      </c>
      <c r="F68" s="240">
        <v>1</v>
      </c>
      <c r="G68" s="241">
        <v>4.49</v>
      </c>
      <c r="H68" s="241"/>
      <c r="I68" s="241">
        <v>2.48</v>
      </c>
      <c r="J68" s="242">
        <v>2</v>
      </c>
      <c r="K68" s="237"/>
      <c r="L68" s="237">
        <f t="shared" si="1"/>
        <v>22.270400000000002</v>
      </c>
      <c r="M68" s="111"/>
      <c r="N68" s="111"/>
      <c r="O68" s="111"/>
      <c r="P68" s="111"/>
    </row>
    <row r="69" spans="3:16" x14ac:dyDescent="0.3">
      <c r="C69" s="114"/>
      <c r="D69" s="238" t="s">
        <v>704</v>
      </c>
      <c r="E69" s="239" t="s">
        <v>0</v>
      </c>
      <c r="F69" s="240">
        <v>1</v>
      </c>
      <c r="G69" s="241">
        <v>6.09</v>
      </c>
      <c r="H69" s="241"/>
      <c r="I69" s="241">
        <v>2.88</v>
      </c>
      <c r="J69" s="242">
        <v>2</v>
      </c>
      <c r="K69" s="237"/>
      <c r="L69" s="237">
        <f t="shared" si="1"/>
        <v>35.078399999999995</v>
      </c>
      <c r="M69" s="111"/>
      <c r="N69" s="111"/>
      <c r="O69" s="111"/>
      <c r="P69" s="111"/>
    </row>
    <row r="70" spans="3:16" x14ac:dyDescent="0.3">
      <c r="C70" s="114"/>
      <c r="D70" s="238" t="s">
        <v>728</v>
      </c>
      <c r="E70" s="239" t="s">
        <v>0</v>
      </c>
      <c r="F70" s="240">
        <v>1</v>
      </c>
      <c r="G70" s="241">
        <v>1.05</v>
      </c>
      <c r="H70" s="241"/>
      <c r="I70" s="241">
        <v>2.88</v>
      </c>
      <c r="J70" s="242">
        <v>2</v>
      </c>
      <c r="K70" s="237"/>
      <c r="L70" s="237">
        <f>PRODUCT(F70:J70)</f>
        <v>6.048</v>
      </c>
      <c r="M70" s="111"/>
      <c r="N70" s="111"/>
      <c r="O70" s="111"/>
      <c r="P70" s="111"/>
    </row>
    <row r="71" spans="3:16" x14ac:dyDescent="0.3">
      <c r="C71" s="114"/>
      <c r="D71" s="238" t="s">
        <v>712</v>
      </c>
      <c r="E71" s="239" t="s">
        <v>0</v>
      </c>
      <c r="F71" s="240">
        <v>1</v>
      </c>
      <c r="G71" s="241">
        <v>2.86</v>
      </c>
      <c r="H71" s="241"/>
      <c r="I71" s="241">
        <v>2.48</v>
      </c>
      <c r="J71" s="242">
        <v>2</v>
      </c>
      <c r="K71" s="237"/>
      <c r="L71" s="237">
        <f t="shared" si="1"/>
        <v>14.185599999999999</v>
      </c>
      <c r="M71" s="111"/>
      <c r="N71" s="111"/>
      <c r="O71" s="111"/>
      <c r="P71" s="111"/>
    </row>
    <row r="72" spans="3:16" x14ac:dyDescent="0.3">
      <c r="C72" s="114"/>
      <c r="D72" s="238" t="s">
        <v>713</v>
      </c>
      <c r="E72" s="239" t="s">
        <v>0</v>
      </c>
      <c r="F72" s="240">
        <v>1</v>
      </c>
      <c r="G72" s="241">
        <v>2.4300000000000002</v>
      </c>
      <c r="H72" s="241"/>
      <c r="I72" s="241">
        <v>2.48</v>
      </c>
      <c r="J72" s="242">
        <v>2</v>
      </c>
      <c r="K72" s="237"/>
      <c r="L72" s="237">
        <f t="shared" si="1"/>
        <v>12.052800000000001</v>
      </c>
      <c r="M72" s="111"/>
      <c r="N72" s="111"/>
      <c r="O72" s="111"/>
      <c r="P72" s="111"/>
    </row>
    <row r="73" spans="3:16" x14ac:dyDescent="0.3">
      <c r="C73" s="114"/>
      <c r="D73" s="238" t="s">
        <v>715</v>
      </c>
      <c r="E73" s="239" t="s">
        <v>0</v>
      </c>
      <c r="F73" s="240">
        <v>1</v>
      </c>
      <c r="G73" s="241">
        <v>2.86</v>
      </c>
      <c r="H73" s="241"/>
      <c r="I73" s="241">
        <v>2.48</v>
      </c>
      <c r="J73" s="242">
        <v>2</v>
      </c>
      <c r="K73" s="237"/>
      <c r="L73" s="237">
        <f t="shared" si="1"/>
        <v>14.185599999999999</v>
      </c>
      <c r="M73" s="111"/>
      <c r="N73" s="111"/>
      <c r="O73" s="111"/>
      <c r="P73" s="111"/>
    </row>
    <row r="74" spans="3:16" x14ac:dyDescent="0.3">
      <c r="C74" s="114"/>
      <c r="D74" s="238" t="s">
        <v>716</v>
      </c>
      <c r="E74" s="239" t="s">
        <v>0</v>
      </c>
      <c r="F74" s="240">
        <v>1</v>
      </c>
      <c r="G74" s="241">
        <v>2.4300000000000002</v>
      </c>
      <c r="H74" s="241"/>
      <c r="I74" s="241">
        <v>2.48</v>
      </c>
      <c r="J74" s="242">
        <v>2</v>
      </c>
      <c r="K74" s="237"/>
      <c r="L74" s="237">
        <f t="shared" si="1"/>
        <v>12.052800000000001</v>
      </c>
      <c r="M74" s="111"/>
      <c r="N74" s="111"/>
      <c r="O74" s="111"/>
      <c r="P74" s="111"/>
    </row>
    <row r="75" spans="3:16" x14ac:dyDescent="0.3">
      <c r="C75" s="114"/>
      <c r="D75" s="238" t="s">
        <v>718</v>
      </c>
      <c r="E75" s="239" t="s">
        <v>0</v>
      </c>
      <c r="F75" s="240">
        <v>1</v>
      </c>
      <c r="G75" s="241">
        <v>1.66</v>
      </c>
      <c r="H75" s="241"/>
      <c r="I75" s="241">
        <v>2.48</v>
      </c>
      <c r="J75" s="242">
        <v>1</v>
      </c>
      <c r="K75" s="237"/>
      <c r="L75" s="237">
        <f t="shared" si="1"/>
        <v>4.1167999999999996</v>
      </c>
      <c r="M75" s="111"/>
      <c r="N75" s="111"/>
      <c r="O75" s="111"/>
      <c r="P75" s="111"/>
    </row>
    <row r="76" spans="3:16" x14ac:dyDescent="0.3">
      <c r="C76" s="114"/>
      <c r="D76" s="238" t="s">
        <v>719</v>
      </c>
      <c r="E76" s="239" t="s">
        <v>0</v>
      </c>
      <c r="F76" s="240">
        <v>1</v>
      </c>
      <c r="G76" s="241">
        <v>1.23</v>
      </c>
      <c r="H76" s="241"/>
      <c r="I76" s="241">
        <v>2.48</v>
      </c>
      <c r="J76" s="242">
        <v>1</v>
      </c>
      <c r="K76" s="237"/>
      <c r="L76" s="237">
        <f t="shared" si="1"/>
        <v>3.0503999999999998</v>
      </c>
      <c r="M76" s="111"/>
      <c r="N76" s="111"/>
      <c r="O76" s="111"/>
      <c r="P76" s="111"/>
    </row>
    <row r="77" spans="3:16" x14ac:dyDescent="0.3">
      <c r="C77" s="114"/>
      <c r="D77" s="238" t="s">
        <v>729</v>
      </c>
      <c r="E77" s="239" t="s">
        <v>0</v>
      </c>
      <c r="F77" s="240">
        <v>1</v>
      </c>
      <c r="G77" s="241">
        <v>1.31</v>
      </c>
      <c r="H77" s="241"/>
      <c r="I77" s="241">
        <v>1.83</v>
      </c>
      <c r="J77" s="242">
        <v>1</v>
      </c>
      <c r="K77" s="237"/>
      <c r="L77" s="237">
        <f t="shared" si="1"/>
        <v>2.3973</v>
      </c>
      <c r="M77" s="111"/>
      <c r="N77" s="111"/>
      <c r="O77" s="111"/>
      <c r="P77" s="111"/>
    </row>
    <row r="78" spans="3:16" x14ac:dyDescent="0.3">
      <c r="C78" s="114"/>
      <c r="D78" s="238" t="s">
        <v>726</v>
      </c>
      <c r="E78" s="239" t="s">
        <v>0</v>
      </c>
      <c r="F78" s="240">
        <v>1</v>
      </c>
      <c r="G78" s="241">
        <v>2.63</v>
      </c>
      <c r="H78" s="241"/>
      <c r="I78" s="241">
        <v>1.1000000000000001</v>
      </c>
      <c r="J78" s="242">
        <v>1</v>
      </c>
      <c r="K78" s="237"/>
      <c r="L78" s="237">
        <f t="shared" si="1"/>
        <v>2.8930000000000002</v>
      </c>
      <c r="M78" s="111"/>
      <c r="N78" s="111"/>
      <c r="O78" s="111"/>
      <c r="P78" s="111"/>
    </row>
    <row r="79" spans="3:16" x14ac:dyDescent="0.3">
      <c r="C79" s="114"/>
      <c r="D79" s="238" t="s">
        <v>730</v>
      </c>
      <c r="E79" s="239" t="s">
        <v>0</v>
      </c>
      <c r="F79" s="240">
        <v>1</v>
      </c>
      <c r="G79" s="241">
        <v>3.25</v>
      </c>
      <c r="H79" s="241"/>
      <c r="I79" s="241">
        <v>1.83</v>
      </c>
      <c r="J79" s="242">
        <v>1</v>
      </c>
      <c r="K79" s="237"/>
      <c r="L79" s="237">
        <f t="shared" si="1"/>
        <v>5.9474999999999998</v>
      </c>
      <c r="M79" s="111"/>
      <c r="N79" s="111"/>
      <c r="O79" s="111"/>
      <c r="P79" s="111"/>
    </row>
    <row r="80" spans="3:16" x14ac:dyDescent="0.3">
      <c r="C80" s="114"/>
      <c r="D80" s="238" t="s">
        <v>731</v>
      </c>
      <c r="E80" s="239" t="s">
        <v>0</v>
      </c>
      <c r="F80" s="240">
        <v>1</v>
      </c>
      <c r="G80" s="241">
        <v>2.7</v>
      </c>
      <c r="H80" s="241"/>
      <c r="I80" s="241">
        <v>1.1000000000000001</v>
      </c>
      <c r="J80" s="242">
        <v>1</v>
      </c>
      <c r="K80" s="237"/>
      <c r="L80" s="237">
        <f t="shared" si="1"/>
        <v>2.9700000000000006</v>
      </c>
      <c r="M80" s="111"/>
      <c r="N80" s="111"/>
      <c r="O80" s="111"/>
      <c r="P80" s="111"/>
    </row>
    <row r="81" spans="3:16" x14ac:dyDescent="0.3">
      <c r="C81" s="106"/>
      <c r="D81" s="238"/>
      <c r="E81" s="239" t="s">
        <v>0</v>
      </c>
      <c r="F81" s="240">
        <v>1</v>
      </c>
      <c r="G81" s="241">
        <v>1.55</v>
      </c>
      <c r="H81" s="241"/>
      <c r="I81" s="241">
        <v>2.68</v>
      </c>
      <c r="J81" s="242">
        <v>1</v>
      </c>
      <c r="K81" s="237"/>
      <c r="L81" s="237">
        <f t="shared" si="1"/>
        <v>4.1540000000000008</v>
      </c>
      <c r="M81" s="113"/>
      <c r="N81" s="113"/>
      <c r="O81" s="113"/>
      <c r="P81" s="113"/>
    </row>
    <row r="82" spans="3:16" x14ac:dyDescent="0.3">
      <c r="C82" s="114"/>
      <c r="D82" s="238" t="s">
        <v>732</v>
      </c>
      <c r="E82" s="239" t="s">
        <v>0</v>
      </c>
      <c r="F82" s="240">
        <v>1</v>
      </c>
      <c r="G82" s="241">
        <v>1.0900000000000001</v>
      </c>
      <c r="H82" s="241"/>
      <c r="I82" s="241">
        <v>1.83</v>
      </c>
      <c r="J82" s="242">
        <v>1</v>
      </c>
      <c r="K82" s="237"/>
      <c r="L82" s="237">
        <f t="shared" si="1"/>
        <v>1.9947000000000001</v>
      </c>
      <c r="M82" s="111"/>
      <c r="N82" s="111"/>
      <c r="O82" s="111"/>
      <c r="P82" s="111"/>
    </row>
    <row r="83" spans="3:16" x14ac:dyDescent="0.3">
      <c r="C83" s="114"/>
      <c r="D83" s="238"/>
      <c r="E83" s="239" t="s">
        <v>0</v>
      </c>
      <c r="F83" s="240">
        <v>1</v>
      </c>
      <c r="G83" s="241">
        <v>0.51</v>
      </c>
      <c r="H83" s="241"/>
      <c r="I83" s="241">
        <v>2.68</v>
      </c>
      <c r="J83" s="242">
        <v>1</v>
      </c>
      <c r="K83" s="237"/>
      <c r="L83" s="237">
        <f t="shared" si="1"/>
        <v>1.3668</v>
      </c>
      <c r="M83" s="111"/>
      <c r="N83" s="111"/>
      <c r="O83" s="111"/>
      <c r="P83" s="111"/>
    </row>
    <row r="84" spans="3:16" x14ac:dyDescent="0.3">
      <c r="C84" s="114"/>
      <c r="D84" s="238" t="s">
        <v>733</v>
      </c>
      <c r="E84" s="239" t="s">
        <v>0</v>
      </c>
      <c r="F84" s="240">
        <v>1</v>
      </c>
      <c r="G84" s="241">
        <v>2.2999999999999998</v>
      </c>
      <c r="H84" s="241"/>
      <c r="I84" s="241">
        <v>1.1000000000000001</v>
      </c>
      <c r="J84" s="242">
        <v>1</v>
      </c>
      <c r="K84" s="237"/>
      <c r="L84" s="237">
        <f t="shared" si="1"/>
        <v>2.5299999999999998</v>
      </c>
      <c r="M84" s="111"/>
      <c r="N84" s="111"/>
      <c r="O84" s="111"/>
      <c r="P84" s="111"/>
    </row>
    <row r="85" spans="3:16" x14ac:dyDescent="0.3">
      <c r="C85" s="114"/>
      <c r="D85" s="238"/>
      <c r="E85" s="239" t="s">
        <v>0</v>
      </c>
      <c r="F85" s="240">
        <v>1</v>
      </c>
      <c r="G85" s="241">
        <v>0.5</v>
      </c>
      <c r="H85" s="241"/>
      <c r="I85" s="241">
        <v>2.68</v>
      </c>
      <c r="J85" s="242">
        <v>1</v>
      </c>
      <c r="K85" s="237"/>
      <c r="L85" s="237">
        <f t="shared" si="1"/>
        <v>1.34</v>
      </c>
      <c r="M85" s="111"/>
      <c r="N85" s="111"/>
      <c r="O85" s="111"/>
      <c r="P85" s="111"/>
    </row>
    <row r="86" spans="3:16" x14ac:dyDescent="0.3">
      <c r="C86" s="114"/>
      <c r="D86" s="238" t="s">
        <v>734</v>
      </c>
      <c r="E86" s="239" t="s">
        <v>0</v>
      </c>
      <c r="F86" s="240">
        <v>1</v>
      </c>
      <c r="G86" s="241">
        <v>2.2999999999999998</v>
      </c>
      <c r="H86" s="241"/>
      <c r="I86" s="241">
        <v>1.83</v>
      </c>
      <c r="J86" s="242">
        <v>1</v>
      </c>
      <c r="K86" s="237"/>
      <c r="L86" s="237">
        <f t="shared" si="1"/>
        <v>4.2089999999999996</v>
      </c>
      <c r="M86" s="111"/>
      <c r="N86" s="111"/>
      <c r="O86" s="111"/>
      <c r="P86" s="111"/>
    </row>
    <row r="87" spans="3:16" x14ac:dyDescent="0.3">
      <c r="C87" s="114"/>
      <c r="D87" s="238" t="s">
        <v>735</v>
      </c>
      <c r="E87" s="239" t="s">
        <v>0</v>
      </c>
      <c r="F87" s="240">
        <v>1</v>
      </c>
      <c r="G87" s="241">
        <v>2.31</v>
      </c>
      <c r="H87" s="241"/>
      <c r="I87" s="241">
        <v>1.1000000000000001</v>
      </c>
      <c r="J87" s="242">
        <v>1</v>
      </c>
      <c r="K87" s="237"/>
      <c r="L87" s="237">
        <f t="shared" si="1"/>
        <v>2.5410000000000004</v>
      </c>
      <c r="M87" s="111"/>
      <c r="N87" s="111"/>
      <c r="O87" s="111"/>
      <c r="P87" s="111"/>
    </row>
    <row r="88" spans="3:16" x14ac:dyDescent="0.3">
      <c r="C88" s="114"/>
      <c r="D88" s="238" t="s">
        <v>706</v>
      </c>
      <c r="E88" s="239" t="s">
        <v>0</v>
      </c>
      <c r="F88" s="240">
        <v>1</v>
      </c>
      <c r="G88" s="241">
        <v>1.32</v>
      </c>
      <c r="H88" s="241"/>
      <c r="I88" s="241">
        <v>2.68</v>
      </c>
      <c r="J88" s="242">
        <v>1</v>
      </c>
      <c r="K88" s="237"/>
      <c r="L88" s="237">
        <f t="shared" si="1"/>
        <v>3.5376000000000003</v>
      </c>
      <c r="M88" s="111"/>
      <c r="N88" s="111"/>
      <c r="O88" s="111"/>
      <c r="P88" s="111"/>
    </row>
    <row r="89" spans="3:16" x14ac:dyDescent="0.3">
      <c r="C89" s="114"/>
      <c r="D89" s="238"/>
      <c r="E89" s="239" t="s">
        <v>0</v>
      </c>
      <c r="F89" s="240">
        <v>1</v>
      </c>
      <c r="G89" s="241">
        <v>1.33</v>
      </c>
      <c r="H89" s="241"/>
      <c r="I89" s="241">
        <v>1.83</v>
      </c>
      <c r="J89" s="242">
        <v>1</v>
      </c>
      <c r="K89" s="237"/>
      <c r="L89" s="237">
        <f t="shared" si="1"/>
        <v>2.4339000000000004</v>
      </c>
      <c r="M89" s="111"/>
      <c r="N89" s="111"/>
      <c r="O89" s="111"/>
      <c r="P89" s="111"/>
    </row>
    <row r="90" spans="3:16" x14ac:dyDescent="0.3">
      <c r="C90" s="114"/>
      <c r="D90" s="238" t="s">
        <v>705</v>
      </c>
      <c r="E90" s="239" t="s">
        <v>0</v>
      </c>
      <c r="F90" s="240">
        <v>1</v>
      </c>
      <c r="G90" s="241">
        <f>1.32+1.33</f>
        <v>2.6500000000000004</v>
      </c>
      <c r="H90" s="241"/>
      <c r="I90" s="241">
        <v>2.68</v>
      </c>
      <c r="J90" s="242">
        <v>1</v>
      </c>
      <c r="K90" s="237"/>
      <c r="L90" s="237">
        <f t="shared" si="1"/>
        <v>7.1020000000000012</v>
      </c>
      <c r="M90" s="111"/>
      <c r="N90" s="111"/>
      <c r="O90" s="111"/>
      <c r="P90" s="111"/>
    </row>
    <row r="91" spans="3:16" x14ac:dyDescent="0.3">
      <c r="C91" s="114"/>
      <c r="D91" s="238" t="s">
        <v>701</v>
      </c>
      <c r="E91" s="239" t="s">
        <v>0</v>
      </c>
      <c r="F91" s="240">
        <v>1</v>
      </c>
      <c r="G91" s="241">
        <v>1.08</v>
      </c>
      <c r="H91" s="241"/>
      <c r="I91" s="241">
        <v>1.83</v>
      </c>
      <c r="J91" s="242">
        <v>1</v>
      </c>
      <c r="K91" s="237"/>
      <c r="L91" s="237">
        <f t="shared" si="1"/>
        <v>1.9764000000000002</v>
      </c>
      <c r="M91" s="111"/>
      <c r="N91" s="111"/>
      <c r="O91" s="111"/>
      <c r="P91" s="111"/>
    </row>
    <row r="92" spans="3:16" x14ac:dyDescent="0.3">
      <c r="C92" s="114"/>
      <c r="D92" s="238" t="s">
        <v>702</v>
      </c>
      <c r="E92" s="239" t="s">
        <v>0</v>
      </c>
      <c r="F92" s="240">
        <v>1</v>
      </c>
      <c r="G92" s="241">
        <v>2.2999999999999998</v>
      </c>
      <c r="H92" s="241"/>
      <c r="I92" s="241">
        <v>1.1000000000000001</v>
      </c>
      <c r="J92" s="242">
        <v>1</v>
      </c>
      <c r="K92" s="237"/>
      <c r="L92" s="237">
        <f t="shared" si="1"/>
        <v>2.5299999999999998</v>
      </c>
      <c r="M92" s="111"/>
      <c r="N92" s="111"/>
      <c r="O92" s="111"/>
      <c r="P92" s="111"/>
    </row>
    <row r="93" spans="3:16" x14ac:dyDescent="0.3">
      <c r="C93" s="114"/>
      <c r="D93" s="238" t="s">
        <v>699</v>
      </c>
      <c r="E93" s="239" t="s">
        <v>0</v>
      </c>
      <c r="F93" s="240">
        <v>1</v>
      </c>
      <c r="G93" s="241">
        <v>1.63</v>
      </c>
      <c r="H93" s="241"/>
      <c r="I93" s="241">
        <v>1.83</v>
      </c>
      <c r="J93" s="242">
        <v>1</v>
      </c>
      <c r="K93" s="237"/>
      <c r="L93" s="237">
        <f t="shared" si="1"/>
        <v>2.9828999999999999</v>
      </c>
      <c r="M93" s="111"/>
      <c r="N93" s="111"/>
      <c r="O93" s="111"/>
      <c r="P93" s="111"/>
    </row>
    <row r="94" spans="3:16" x14ac:dyDescent="0.3">
      <c r="C94" s="114"/>
      <c r="D94" s="238" t="s">
        <v>700</v>
      </c>
      <c r="E94" s="239" t="s">
        <v>0</v>
      </c>
      <c r="F94" s="240">
        <v>1</v>
      </c>
      <c r="G94" s="241">
        <v>1.63</v>
      </c>
      <c r="H94" s="241"/>
      <c r="I94" s="241">
        <v>1.1000000000000001</v>
      </c>
      <c r="J94" s="242">
        <v>1</v>
      </c>
      <c r="K94" s="237"/>
      <c r="L94" s="237">
        <f t="shared" si="1"/>
        <v>1.7929999999999999</v>
      </c>
      <c r="M94" s="111"/>
      <c r="N94" s="111"/>
      <c r="O94" s="111"/>
      <c r="P94" s="111"/>
    </row>
    <row r="95" spans="3:16" x14ac:dyDescent="0.3">
      <c r="C95" s="114"/>
      <c r="D95" s="238" t="s">
        <v>736</v>
      </c>
      <c r="E95" s="239" t="s">
        <v>0</v>
      </c>
      <c r="F95" s="240">
        <v>1</v>
      </c>
      <c r="G95" s="241">
        <v>2.2999999999999998</v>
      </c>
      <c r="H95" s="241"/>
      <c r="I95" s="241">
        <v>1.83</v>
      </c>
      <c r="J95" s="242">
        <v>1</v>
      </c>
      <c r="K95" s="237"/>
      <c r="L95" s="237">
        <f t="shared" si="1"/>
        <v>4.2089999999999996</v>
      </c>
      <c r="M95" s="111"/>
      <c r="N95" s="111"/>
      <c r="O95" s="111"/>
      <c r="P95" s="111"/>
    </row>
    <row r="96" spans="3:16" x14ac:dyDescent="0.3">
      <c r="C96" s="114"/>
      <c r="D96" s="238" t="s">
        <v>698</v>
      </c>
      <c r="E96" s="239" t="s">
        <v>0</v>
      </c>
      <c r="F96" s="240">
        <v>1</v>
      </c>
      <c r="G96" s="241">
        <v>2.2999999999999998</v>
      </c>
      <c r="H96" s="241"/>
      <c r="I96" s="241">
        <v>1.1000000000000001</v>
      </c>
      <c r="J96" s="242">
        <v>1</v>
      </c>
      <c r="K96" s="237"/>
      <c r="L96" s="237">
        <f t="shared" si="1"/>
        <v>2.5299999999999998</v>
      </c>
      <c r="M96" s="111"/>
      <c r="N96" s="111"/>
      <c r="O96" s="111"/>
      <c r="P96" s="111"/>
    </row>
    <row r="97" spans="3:16" x14ac:dyDescent="0.3">
      <c r="C97" s="114"/>
      <c r="D97" s="238" t="s">
        <v>695</v>
      </c>
      <c r="E97" s="239" t="s">
        <v>0</v>
      </c>
      <c r="F97" s="240">
        <v>1</v>
      </c>
      <c r="G97" s="241">
        <v>2.5099999999999998</v>
      </c>
      <c r="H97" s="241"/>
      <c r="I97" s="241">
        <v>2.68</v>
      </c>
      <c r="J97" s="242">
        <v>1</v>
      </c>
      <c r="K97" s="237"/>
      <c r="L97" s="237">
        <f t="shared" si="1"/>
        <v>6.7267999999999999</v>
      </c>
      <c r="M97" s="111"/>
      <c r="N97" s="111"/>
      <c r="O97" s="111"/>
      <c r="P97" s="111"/>
    </row>
    <row r="98" spans="3:16" x14ac:dyDescent="0.3">
      <c r="C98" s="114"/>
      <c r="D98" s="238" t="s">
        <v>692</v>
      </c>
      <c r="E98" s="239" t="s">
        <v>0</v>
      </c>
      <c r="F98" s="240">
        <v>1</v>
      </c>
      <c r="G98" s="241">
        <v>0.6</v>
      </c>
      <c r="H98" s="241"/>
      <c r="I98" s="241">
        <v>2.88</v>
      </c>
      <c r="J98" s="242">
        <v>1</v>
      </c>
      <c r="K98" s="237"/>
      <c r="L98" s="237">
        <f>PRODUCT(F98:J98)</f>
        <v>1.728</v>
      </c>
      <c r="M98" s="111"/>
      <c r="N98" s="111"/>
      <c r="O98" s="111"/>
      <c r="P98" s="111"/>
    </row>
    <row r="99" spans="3:16" x14ac:dyDescent="0.3">
      <c r="C99" s="114"/>
      <c r="D99" s="238" t="s">
        <v>737</v>
      </c>
      <c r="E99" s="239" t="s">
        <v>0</v>
      </c>
      <c r="F99" s="240">
        <v>1</v>
      </c>
      <c r="G99" s="241">
        <f>1.65+1.46</f>
        <v>3.11</v>
      </c>
      <c r="H99" s="241"/>
      <c r="I99" s="241">
        <v>2.88</v>
      </c>
      <c r="J99" s="242">
        <v>2</v>
      </c>
      <c r="K99" s="237"/>
      <c r="L99" s="237">
        <f t="shared" si="1"/>
        <v>17.913599999999999</v>
      </c>
      <c r="M99" s="111"/>
      <c r="N99" s="111"/>
      <c r="O99" s="111"/>
      <c r="P99" s="111"/>
    </row>
    <row r="100" spans="3:16" x14ac:dyDescent="0.3">
      <c r="C100" s="114"/>
      <c r="D100" s="238" t="s">
        <v>738</v>
      </c>
      <c r="E100" s="239" t="s">
        <v>0</v>
      </c>
      <c r="F100" s="240">
        <v>1</v>
      </c>
      <c r="G100" s="241">
        <v>1.75</v>
      </c>
      <c r="H100" s="241"/>
      <c r="I100" s="241">
        <v>1.88</v>
      </c>
      <c r="J100" s="242">
        <v>2</v>
      </c>
      <c r="K100" s="237"/>
      <c r="L100" s="237">
        <f t="shared" si="1"/>
        <v>6.58</v>
      </c>
      <c r="M100" s="111"/>
      <c r="N100" s="111"/>
      <c r="O100" s="111"/>
      <c r="P100" s="111"/>
    </row>
    <row r="101" spans="3:16" x14ac:dyDescent="0.3">
      <c r="C101" s="114"/>
      <c r="D101" s="238" t="s">
        <v>696</v>
      </c>
      <c r="E101" s="239" t="s">
        <v>0</v>
      </c>
      <c r="F101" s="240">
        <v>1</v>
      </c>
      <c r="G101" s="241">
        <v>1.5</v>
      </c>
      <c r="H101" s="241"/>
      <c r="I101" s="241">
        <v>2.68</v>
      </c>
      <c r="J101" s="242">
        <v>1</v>
      </c>
      <c r="K101" s="237"/>
      <c r="L101" s="237">
        <f t="shared" si="1"/>
        <v>4.0200000000000005</v>
      </c>
      <c r="M101" s="111"/>
      <c r="N101" s="111"/>
      <c r="O101" s="111"/>
      <c r="P101" s="111"/>
    </row>
    <row r="102" spans="3:16" x14ac:dyDescent="0.3">
      <c r="C102" s="114"/>
      <c r="D102" s="259" t="s">
        <v>45</v>
      </c>
      <c r="E102" s="260"/>
      <c r="F102" s="278"/>
      <c r="G102" s="256"/>
      <c r="H102" s="256"/>
      <c r="I102" s="256"/>
      <c r="J102" s="277"/>
      <c r="K102" s="231"/>
      <c r="L102" s="231"/>
      <c r="M102" s="111"/>
      <c r="N102" s="111"/>
      <c r="O102" s="111"/>
      <c r="P102" s="111"/>
    </row>
    <row r="103" spans="3:16" x14ac:dyDescent="0.3">
      <c r="C103" s="114"/>
      <c r="D103" s="238" t="s">
        <v>690</v>
      </c>
      <c r="E103" s="239" t="s">
        <v>0</v>
      </c>
      <c r="F103" s="240">
        <v>1</v>
      </c>
      <c r="G103" s="241">
        <v>1.96</v>
      </c>
      <c r="H103" s="241"/>
      <c r="I103" s="241">
        <v>1.86</v>
      </c>
      <c r="J103" s="242">
        <v>1</v>
      </c>
      <c r="K103" s="237"/>
      <c r="L103" s="237">
        <f t="shared" ref="L103:L140" si="2">PRODUCT(F103:J103)</f>
        <v>3.6456</v>
      </c>
      <c r="M103" s="111"/>
      <c r="N103" s="111"/>
      <c r="O103" s="111"/>
      <c r="P103" s="111"/>
    </row>
    <row r="104" spans="3:16" x14ac:dyDescent="0.3">
      <c r="C104" s="114"/>
      <c r="D104" s="238" t="s">
        <v>727</v>
      </c>
      <c r="E104" s="239" t="s">
        <v>0</v>
      </c>
      <c r="F104" s="240">
        <v>1</v>
      </c>
      <c r="G104" s="241">
        <v>1.18</v>
      </c>
      <c r="H104" s="241"/>
      <c r="I104" s="241">
        <v>1.86</v>
      </c>
      <c r="J104" s="242">
        <v>1</v>
      </c>
      <c r="K104" s="237"/>
      <c r="L104" s="237">
        <f t="shared" si="2"/>
        <v>2.1947999999999999</v>
      </c>
      <c r="M104" s="111"/>
      <c r="N104" s="111"/>
      <c r="O104" s="111"/>
      <c r="P104" s="111"/>
    </row>
    <row r="105" spans="3:16" x14ac:dyDescent="0.3">
      <c r="C105" s="114"/>
      <c r="D105" s="238" t="s">
        <v>693</v>
      </c>
      <c r="E105" s="239" t="s">
        <v>0</v>
      </c>
      <c r="F105" s="240">
        <v>1</v>
      </c>
      <c r="G105" s="241">
        <v>2.61</v>
      </c>
      <c r="H105" s="241"/>
      <c r="I105" s="241">
        <v>2.46</v>
      </c>
      <c r="J105" s="242">
        <v>2</v>
      </c>
      <c r="K105" s="237"/>
      <c r="L105" s="237">
        <f t="shared" si="2"/>
        <v>12.841199999999999</v>
      </c>
      <c r="M105" s="111"/>
      <c r="N105" s="111"/>
      <c r="O105" s="111"/>
      <c r="P105" s="111"/>
    </row>
    <row r="106" spans="3:16" x14ac:dyDescent="0.3">
      <c r="C106" s="114"/>
      <c r="D106" s="238" t="s">
        <v>694</v>
      </c>
      <c r="E106" s="239" t="s">
        <v>0</v>
      </c>
      <c r="F106" s="240">
        <v>1</v>
      </c>
      <c r="G106" s="241">
        <v>2.68</v>
      </c>
      <c r="H106" s="241"/>
      <c r="I106" s="241">
        <v>2.46</v>
      </c>
      <c r="J106" s="242">
        <v>2</v>
      </c>
      <c r="K106" s="237"/>
      <c r="L106" s="237">
        <f t="shared" si="2"/>
        <v>13.185600000000001</v>
      </c>
      <c r="M106" s="111"/>
      <c r="N106" s="111"/>
      <c r="O106" s="111"/>
      <c r="P106" s="111"/>
    </row>
    <row r="107" spans="3:16" x14ac:dyDescent="0.3">
      <c r="C107" s="114"/>
      <c r="D107" s="238" t="s">
        <v>703</v>
      </c>
      <c r="E107" s="239" t="s">
        <v>0</v>
      </c>
      <c r="F107" s="240">
        <v>1</v>
      </c>
      <c r="G107" s="241">
        <v>4.49</v>
      </c>
      <c r="H107" s="241"/>
      <c r="I107" s="241">
        <v>2.46</v>
      </c>
      <c r="J107" s="242">
        <v>2</v>
      </c>
      <c r="K107" s="237"/>
      <c r="L107" s="237">
        <f t="shared" si="2"/>
        <v>22.090800000000002</v>
      </c>
      <c r="M107" s="111"/>
      <c r="N107" s="111"/>
      <c r="O107" s="111"/>
      <c r="P107" s="111"/>
    </row>
    <row r="108" spans="3:16" x14ac:dyDescent="0.3">
      <c r="C108" s="114"/>
      <c r="D108" s="238" t="s">
        <v>704</v>
      </c>
      <c r="E108" s="239" t="s">
        <v>0</v>
      </c>
      <c r="F108" s="240">
        <v>1</v>
      </c>
      <c r="G108" s="241">
        <v>6.09</v>
      </c>
      <c r="H108" s="241"/>
      <c r="I108" s="241">
        <v>2.86</v>
      </c>
      <c r="J108" s="242">
        <v>2</v>
      </c>
      <c r="K108" s="237"/>
      <c r="L108" s="237">
        <f t="shared" si="2"/>
        <v>34.834799999999994</v>
      </c>
      <c r="M108" s="111"/>
      <c r="N108" s="111"/>
      <c r="O108" s="111"/>
      <c r="P108" s="111"/>
    </row>
    <row r="109" spans="3:16" x14ac:dyDescent="0.3">
      <c r="C109" s="114"/>
      <c r="D109" s="238" t="s">
        <v>728</v>
      </c>
      <c r="E109" s="239" t="s">
        <v>0</v>
      </c>
      <c r="F109" s="240">
        <v>1</v>
      </c>
      <c r="G109" s="241">
        <v>1.05</v>
      </c>
      <c r="H109" s="241"/>
      <c r="I109" s="241">
        <v>2.86</v>
      </c>
      <c r="J109" s="242">
        <v>2</v>
      </c>
      <c r="K109" s="237"/>
      <c r="L109" s="237">
        <f t="shared" si="2"/>
        <v>6.0060000000000002</v>
      </c>
      <c r="M109" s="111"/>
      <c r="N109" s="111"/>
      <c r="O109" s="111"/>
      <c r="P109" s="111"/>
    </row>
    <row r="110" spans="3:16" x14ac:dyDescent="0.3">
      <c r="C110" s="114"/>
      <c r="D110" s="238" t="s">
        <v>712</v>
      </c>
      <c r="E110" s="239" t="s">
        <v>0</v>
      </c>
      <c r="F110" s="240">
        <v>1</v>
      </c>
      <c r="G110" s="241">
        <v>2.86</v>
      </c>
      <c r="H110" s="241"/>
      <c r="I110" s="241">
        <v>2.46</v>
      </c>
      <c r="J110" s="242">
        <v>2</v>
      </c>
      <c r="K110" s="237"/>
      <c r="L110" s="237">
        <f t="shared" si="2"/>
        <v>14.071199999999999</v>
      </c>
      <c r="M110" s="111"/>
      <c r="N110" s="111"/>
      <c r="O110" s="111"/>
      <c r="P110" s="111"/>
    </row>
    <row r="111" spans="3:16" x14ac:dyDescent="0.3">
      <c r="C111" s="114"/>
      <c r="D111" s="238" t="s">
        <v>713</v>
      </c>
      <c r="E111" s="239" t="s">
        <v>0</v>
      </c>
      <c r="F111" s="240">
        <v>1</v>
      </c>
      <c r="G111" s="241">
        <v>2.4300000000000002</v>
      </c>
      <c r="H111" s="241"/>
      <c r="I111" s="241">
        <v>2.46</v>
      </c>
      <c r="J111" s="242">
        <v>2</v>
      </c>
      <c r="K111" s="237"/>
      <c r="L111" s="237">
        <f t="shared" si="2"/>
        <v>11.9556</v>
      </c>
      <c r="M111" s="111"/>
      <c r="N111" s="111"/>
      <c r="O111" s="111"/>
      <c r="P111" s="111"/>
    </row>
    <row r="112" spans="3:16" x14ac:dyDescent="0.3">
      <c r="C112" s="114"/>
      <c r="D112" s="238" t="s">
        <v>715</v>
      </c>
      <c r="E112" s="239" t="s">
        <v>0</v>
      </c>
      <c r="F112" s="240">
        <v>1</v>
      </c>
      <c r="G112" s="241">
        <v>2.86</v>
      </c>
      <c r="H112" s="241"/>
      <c r="I112" s="241">
        <v>2.46</v>
      </c>
      <c r="J112" s="242">
        <v>2</v>
      </c>
      <c r="K112" s="237"/>
      <c r="L112" s="237">
        <f t="shared" si="2"/>
        <v>14.071199999999999</v>
      </c>
      <c r="M112" s="111"/>
      <c r="N112" s="111"/>
      <c r="O112" s="111"/>
      <c r="P112" s="111"/>
    </row>
    <row r="113" spans="3:16" x14ac:dyDescent="0.3">
      <c r="C113" s="114"/>
      <c r="D113" s="238" t="s">
        <v>716</v>
      </c>
      <c r="E113" s="239" t="s">
        <v>0</v>
      </c>
      <c r="F113" s="240">
        <v>1</v>
      </c>
      <c r="G113" s="241">
        <v>2.4300000000000002</v>
      </c>
      <c r="H113" s="241"/>
      <c r="I113" s="241">
        <v>2.46</v>
      </c>
      <c r="J113" s="242">
        <v>2</v>
      </c>
      <c r="K113" s="237"/>
      <c r="L113" s="237">
        <f t="shared" si="2"/>
        <v>11.9556</v>
      </c>
      <c r="M113" s="111"/>
      <c r="N113" s="111"/>
      <c r="O113" s="111"/>
      <c r="P113" s="111"/>
    </row>
    <row r="114" spans="3:16" x14ac:dyDescent="0.3">
      <c r="C114" s="114"/>
      <c r="D114" s="238" t="s">
        <v>718</v>
      </c>
      <c r="E114" s="239" t="s">
        <v>0</v>
      </c>
      <c r="F114" s="240">
        <v>1</v>
      </c>
      <c r="G114" s="241">
        <v>1.66</v>
      </c>
      <c r="H114" s="241"/>
      <c r="I114" s="241">
        <v>2.46</v>
      </c>
      <c r="J114" s="242">
        <v>1</v>
      </c>
      <c r="K114" s="237"/>
      <c r="L114" s="237">
        <f t="shared" si="2"/>
        <v>4.0835999999999997</v>
      </c>
      <c r="M114" s="111"/>
      <c r="N114" s="111"/>
      <c r="O114" s="111"/>
      <c r="P114" s="111"/>
    </row>
    <row r="115" spans="3:16" x14ac:dyDescent="0.3">
      <c r="C115" s="114"/>
      <c r="D115" s="238" t="s">
        <v>719</v>
      </c>
      <c r="E115" s="239" t="s">
        <v>0</v>
      </c>
      <c r="F115" s="240">
        <v>1</v>
      </c>
      <c r="G115" s="241">
        <v>1.23</v>
      </c>
      <c r="H115" s="241"/>
      <c r="I115" s="241">
        <v>2.46</v>
      </c>
      <c r="J115" s="242">
        <v>1</v>
      </c>
      <c r="K115" s="237"/>
      <c r="L115" s="237">
        <f t="shared" si="2"/>
        <v>3.0257999999999998</v>
      </c>
      <c r="M115" s="111"/>
      <c r="N115" s="111"/>
      <c r="O115" s="111"/>
      <c r="P115" s="111"/>
    </row>
    <row r="116" spans="3:16" x14ac:dyDescent="0.3">
      <c r="C116" s="114"/>
      <c r="D116" s="238" t="s">
        <v>729</v>
      </c>
      <c r="E116" s="239" t="s">
        <v>0</v>
      </c>
      <c r="F116" s="240">
        <v>1</v>
      </c>
      <c r="G116" s="241">
        <v>1.31</v>
      </c>
      <c r="H116" s="241"/>
      <c r="I116" s="241">
        <v>1.81</v>
      </c>
      <c r="J116" s="242">
        <v>1</v>
      </c>
      <c r="K116" s="237"/>
      <c r="L116" s="237">
        <f t="shared" si="2"/>
        <v>2.3711000000000002</v>
      </c>
      <c r="M116" s="111"/>
      <c r="N116" s="111"/>
      <c r="O116" s="111"/>
      <c r="P116" s="111"/>
    </row>
    <row r="117" spans="3:16" x14ac:dyDescent="0.3">
      <c r="C117" s="114"/>
      <c r="D117" s="238" t="s">
        <v>726</v>
      </c>
      <c r="E117" s="239" t="s">
        <v>0</v>
      </c>
      <c r="F117" s="240">
        <v>1</v>
      </c>
      <c r="G117" s="241">
        <v>2.63</v>
      </c>
      <c r="H117" s="241"/>
      <c r="I117" s="241">
        <v>1.1000000000000001</v>
      </c>
      <c r="J117" s="242">
        <v>1</v>
      </c>
      <c r="K117" s="237"/>
      <c r="L117" s="237">
        <f t="shared" si="2"/>
        <v>2.8930000000000002</v>
      </c>
      <c r="M117" s="111"/>
      <c r="N117" s="111"/>
      <c r="O117" s="111"/>
      <c r="P117" s="111"/>
    </row>
    <row r="118" spans="3:16" x14ac:dyDescent="0.3">
      <c r="C118" s="106"/>
      <c r="D118" s="238" t="s">
        <v>730</v>
      </c>
      <c r="E118" s="239" t="s">
        <v>0</v>
      </c>
      <c r="F118" s="240">
        <v>1</v>
      </c>
      <c r="G118" s="241">
        <v>3.25</v>
      </c>
      <c r="H118" s="241"/>
      <c r="I118" s="241">
        <v>1.81</v>
      </c>
      <c r="J118" s="242">
        <v>1</v>
      </c>
      <c r="K118" s="237"/>
      <c r="L118" s="237">
        <f t="shared" si="2"/>
        <v>5.8825000000000003</v>
      </c>
      <c r="M118" s="113"/>
      <c r="N118" s="113"/>
      <c r="O118" s="113"/>
      <c r="P118" s="113"/>
    </row>
    <row r="119" spans="3:16" x14ac:dyDescent="0.3">
      <c r="C119" s="114"/>
      <c r="D119" s="238" t="s">
        <v>731</v>
      </c>
      <c r="E119" s="239" t="s">
        <v>0</v>
      </c>
      <c r="F119" s="240">
        <v>1</v>
      </c>
      <c r="G119" s="241">
        <v>2.7</v>
      </c>
      <c r="H119" s="241"/>
      <c r="I119" s="241">
        <v>1.1000000000000001</v>
      </c>
      <c r="J119" s="242">
        <v>1</v>
      </c>
      <c r="K119" s="237"/>
      <c r="L119" s="237">
        <f t="shared" si="2"/>
        <v>2.9700000000000006</v>
      </c>
      <c r="M119" s="111"/>
      <c r="N119" s="111"/>
      <c r="O119" s="111"/>
      <c r="P119" s="111"/>
    </row>
    <row r="120" spans="3:16" x14ac:dyDescent="0.3">
      <c r="C120" s="114"/>
      <c r="D120" s="238"/>
      <c r="E120" s="239" t="s">
        <v>0</v>
      </c>
      <c r="F120" s="240">
        <v>1</v>
      </c>
      <c r="G120" s="241">
        <v>1.55</v>
      </c>
      <c r="H120" s="241"/>
      <c r="I120" s="241">
        <v>2.66</v>
      </c>
      <c r="J120" s="242">
        <v>1</v>
      </c>
      <c r="K120" s="237"/>
      <c r="L120" s="237">
        <f t="shared" si="2"/>
        <v>4.1230000000000002</v>
      </c>
      <c r="M120" s="111"/>
      <c r="N120" s="111"/>
      <c r="O120" s="111"/>
      <c r="P120" s="111"/>
    </row>
    <row r="121" spans="3:16" x14ac:dyDescent="0.3">
      <c r="C121" s="114"/>
      <c r="D121" s="238" t="s">
        <v>732</v>
      </c>
      <c r="E121" s="239" t="s">
        <v>0</v>
      </c>
      <c r="F121" s="240">
        <v>1</v>
      </c>
      <c r="G121" s="241">
        <v>1.0900000000000001</v>
      </c>
      <c r="H121" s="241"/>
      <c r="I121" s="241">
        <v>1.81</v>
      </c>
      <c r="J121" s="242">
        <v>1</v>
      </c>
      <c r="K121" s="237"/>
      <c r="L121" s="237">
        <f t="shared" si="2"/>
        <v>1.9729000000000001</v>
      </c>
      <c r="M121" s="111"/>
      <c r="N121" s="111"/>
      <c r="O121" s="111"/>
      <c r="P121" s="111"/>
    </row>
    <row r="122" spans="3:16" x14ac:dyDescent="0.3">
      <c r="C122" s="114"/>
      <c r="D122" s="238"/>
      <c r="E122" s="239" t="s">
        <v>0</v>
      </c>
      <c r="F122" s="240">
        <v>1</v>
      </c>
      <c r="G122" s="241">
        <v>0.51</v>
      </c>
      <c r="H122" s="241"/>
      <c r="I122" s="241">
        <v>2.66</v>
      </c>
      <c r="J122" s="242">
        <v>1</v>
      </c>
      <c r="K122" s="237"/>
      <c r="L122" s="237">
        <f t="shared" si="2"/>
        <v>1.3566</v>
      </c>
      <c r="M122" s="111"/>
      <c r="N122" s="111"/>
      <c r="O122" s="111"/>
      <c r="P122" s="111"/>
    </row>
    <row r="123" spans="3:16" x14ac:dyDescent="0.3">
      <c r="C123" s="114"/>
      <c r="D123" s="238" t="s">
        <v>733</v>
      </c>
      <c r="E123" s="239" t="s">
        <v>0</v>
      </c>
      <c r="F123" s="240">
        <v>1</v>
      </c>
      <c r="G123" s="241">
        <v>2.2999999999999998</v>
      </c>
      <c r="H123" s="241"/>
      <c r="I123" s="241">
        <v>1.1000000000000001</v>
      </c>
      <c r="J123" s="242">
        <v>1</v>
      </c>
      <c r="K123" s="237"/>
      <c r="L123" s="237">
        <f t="shared" si="2"/>
        <v>2.5299999999999998</v>
      </c>
      <c r="M123" s="111"/>
      <c r="N123" s="111"/>
      <c r="O123" s="111"/>
      <c r="P123" s="111"/>
    </row>
    <row r="124" spans="3:16" x14ac:dyDescent="0.3">
      <c r="C124" s="114"/>
      <c r="D124" s="238"/>
      <c r="E124" s="239" t="s">
        <v>0</v>
      </c>
      <c r="F124" s="240">
        <v>1</v>
      </c>
      <c r="G124" s="241">
        <v>0.5</v>
      </c>
      <c r="H124" s="241"/>
      <c r="I124" s="241">
        <v>2.66</v>
      </c>
      <c r="J124" s="242">
        <v>1</v>
      </c>
      <c r="K124" s="237"/>
      <c r="L124" s="237">
        <f t="shared" si="2"/>
        <v>1.33</v>
      </c>
      <c r="M124" s="111"/>
      <c r="N124" s="111"/>
      <c r="O124" s="111"/>
      <c r="P124" s="111"/>
    </row>
    <row r="125" spans="3:16" x14ac:dyDescent="0.3">
      <c r="C125" s="114"/>
      <c r="D125" s="238" t="s">
        <v>734</v>
      </c>
      <c r="E125" s="239" t="s">
        <v>0</v>
      </c>
      <c r="F125" s="240">
        <v>1</v>
      </c>
      <c r="G125" s="241">
        <v>2.2999999999999998</v>
      </c>
      <c r="H125" s="241"/>
      <c r="I125" s="241">
        <v>1.81</v>
      </c>
      <c r="J125" s="242">
        <v>1</v>
      </c>
      <c r="K125" s="237"/>
      <c r="L125" s="237">
        <f t="shared" si="2"/>
        <v>4.1629999999999994</v>
      </c>
      <c r="M125" s="111"/>
      <c r="N125" s="111"/>
      <c r="O125" s="111"/>
      <c r="P125" s="111"/>
    </row>
    <row r="126" spans="3:16" x14ac:dyDescent="0.3">
      <c r="C126" s="114"/>
      <c r="D126" s="238" t="s">
        <v>735</v>
      </c>
      <c r="E126" s="239" t="s">
        <v>0</v>
      </c>
      <c r="F126" s="240">
        <v>1</v>
      </c>
      <c r="G126" s="241">
        <v>2.31</v>
      </c>
      <c r="H126" s="241"/>
      <c r="I126" s="241">
        <v>1.1000000000000001</v>
      </c>
      <c r="J126" s="242">
        <v>1</v>
      </c>
      <c r="K126" s="237"/>
      <c r="L126" s="237">
        <f t="shared" si="2"/>
        <v>2.5410000000000004</v>
      </c>
      <c r="M126" s="111"/>
      <c r="N126" s="111"/>
      <c r="O126" s="111"/>
      <c r="P126" s="111"/>
    </row>
    <row r="127" spans="3:16" x14ac:dyDescent="0.3">
      <c r="C127" s="114"/>
      <c r="D127" s="238" t="s">
        <v>706</v>
      </c>
      <c r="E127" s="239" t="s">
        <v>0</v>
      </c>
      <c r="F127" s="240">
        <v>1</v>
      </c>
      <c r="G127" s="241">
        <v>1.32</v>
      </c>
      <c r="H127" s="241"/>
      <c r="I127" s="241">
        <v>2.66</v>
      </c>
      <c r="J127" s="242">
        <v>1</v>
      </c>
      <c r="K127" s="237"/>
      <c r="L127" s="237">
        <f t="shared" si="2"/>
        <v>3.5112000000000005</v>
      </c>
      <c r="M127" s="111"/>
      <c r="N127" s="111"/>
      <c r="O127" s="111"/>
      <c r="P127" s="111"/>
    </row>
    <row r="128" spans="3:16" x14ac:dyDescent="0.3">
      <c r="C128" s="114"/>
      <c r="D128" s="238"/>
      <c r="E128" s="239" t="s">
        <v>0</v>
      </c>
      <c r="F128" s="240">
        <v>1</v>
      </c>
      <c r="G128" s="241">
        <v>1.33</v>
      </c>
      <c r="H128" s="241"/>
      <c r="I128" s="241">
        <v>1.81</v>
      </c>
      <c r="J128" s="242">
        <v>1</v>
      </c>
      <c r="K128" s="237"/>
      <c r="L128" s="237">
        <f t="shared" si="2"/>
        <v>2.4073000000000002</v>
      </c>
      <c r="M128" s="111"/>
      <c r="N128" s="111"/>
      <c r="O128" s="111"/>
      <c r="P128" s="111"/>
    </row>
    <row r="129" spans="3:16" x14ac:dyDescent="0.3">
      <c r="C129" s="114"/>
      <c r="D129" s="238" t="s">
        <v>705</v>
      </c>
      <c r="E129" s="239" t="s">
        <v>0</v>
      </c>
      <c r="F129" s="240">
        <v>1</v>
      </c>
      <c r="G129" s="241">
        <f>1.32+1.33</f>
        <v>2.6500000000000004</v>
      </c>
      <c r="H129" s="241"/>
      <c r="I129" s="241">
        <v>2.66</v>
      </c>
      <c r="J129" s="242">
        <v>1</v>
      </c>
      <c r="K129" s="237"/>
      <c r="L129" s="237">
        <f t="shared" si="2"/>
        <v>7.0490000000000013</v>
      </c>
      <c r="M129" s="111"/>
      <c r="N129" s="111"/>
      <c r="O129" s="111"/>
      <c r="P129" s="111"/>
    </row>
    <row r="130" spans="3:16" x14ac:dyDescent="0.3">
      <c r="C130" s="114"/>
      <c r="D130" s="238" t="s">
        <v>701</v>
      </c>
      <c r="E130" s="239" t="s">
        <v>0</v>
      </c>
      <c r="F130" s="240">
        <v>1</v>
      </c>
      <c r="G130" s="241">
        <v>1.08</v>
      </c>
      <c r="H130" s="241"/>
      <c r="I130" s="241">
        <v>1.81</v>
      </c>
      <c r="J130" s="242">
        <v>1</v>
      </c>
      <c r="K130" s="237"/>
      <c r="L130" s="237">
        <f t="shared" si="2"/>
        <v>1.9548000000000001</v>
      </c>
      <c r="M130" s="111"/>
      <c r="N130" s="111"/>
      <c r="O130" s="111"/>
      <c r="P130" s="111"/>
    </row>
    <row r="131" spans="3:16" x14ac:dyDescent="0.3">
      <c r="C131" s="114"/>
      <c r="D131" s="238" t="s">
        <v>702</v>
      </c>
      <c r="E131" s="239" t="s">
        <v>0</v>
      </c>
      <c r="F131" s="240">
        <v>1</v>
      </c>
      <c r="G131" s="241">
        <v>2.2999999999999998</v>
      </c>
      <c r="H131" s="241"/>
      <c r="I131" s="241">
        <v>1.1000000000000001</v>
      </c>
      <c r="J131" s="242">
        <v>1</v>
      </c>
      <c r="K131" s="237"/>
      <c r="L131" s="237">
        <f t="shared" si="2"/>
        <v>2.5299999999999998</v>
      </c>
      <c r="M131" s="111"/>
      <c r="N131" s="111"/>
      <c r="O131" s="111"/>
      <c r="P131" s="111"/>
    </row>
    <row r="132" spans="3:16" x14ac:dyDescent="0.3">
      <c r="C132" s="114"/>
      <c r="D132" s="238" t="s">
        <v>699</v>
      </c>
      <c r="E132" s="239" t="s">
        <v>0</v>
      </c>
      <c r="F132" s="240">
        <v>1</v>
      </c>
      <c r="G132" s="241">
        <v>1.63</v>
      </c>
      <c r="H132" s="241"/>
      <c r="I132" s="241">
        <v>1.81</v>
      </c>
      <c r="J132" s="242">
        <v>1</v>
      </c>
      <c r="K132" s="237"/>
      <c r="L132" s="237">
        <f t="shared" si="2"/>
        <v>2.9502999999999999</v>
      </c>
      <c r="M132" s="111"/>
      <c r="N132" s="111"/>
      <c r="O132" s="111"/>
      <c r="P132" s="111"/>
    </row>
    <row r="133" spans="3:16" x14ac:dyDescent="0.3">
      <c r="C133" s="114"/>
      <c r="D133" s="238" t="s">
        <v>700</v>
      </c>
      <c r="E133" s="239" t="s">
        <v>0</v>
      </c>
      <c r="F133" s="240">
        <v>1</v>
      </c>
      <c r="G133" s="241">
        <v>1.63</v>
      </c>
      <c r="H133" s="241"/>
      <c r="I133" s="241">
        <v>1.1000000000000001</v>
      </c>
      <c r="J133" s="242">
        <v>1</v>
      </c>
      <c r="K133" s="237"/>
      <c r="L133" s="237">
        <f t="shared" si="2"/>
        <v>1.7929999999999999</v>
      </c>
      <c r="M133" s="111"/>
      <c r="N133" s="111"/>
      <c r="O133" s="111"/>
      <c r="P133" s="111"/>
    </row>
    <row r="134" spans="3:16" x14ac:dyDescent="0.3">
      <c r="C134" s="114"/>
      <c r="D134" s="238" t="s">
        <v>736</v>
      </c>
      <c r="E134" s="239" t="s">
        <v>0</v>
      </c>
      <c r="F134" s="240">
        <v>1</v>
      </c>
      <c r="G134" s="241">
        <v>2.2999999999999998</v>
      </c>
      <c r="H134" s="241"/>
      <c r="I134" s="241">
        <v>1.81</v>
      </c>
      <c r="J134" s="242">
        <v>1</v>
      </c>
      <c r="K134" s="237"/>
      <c r="L134" s="237">
        <f t="shared" si="2"/>
        <v>4.1629999999999994</v>
      </c>
      <c r="M134" s="111"/>
      <c r="N134" s="111"/>
      <c r="O134" s="111"/>
      <c r="P134" s="111"/>
    </row>
    <row r="135" spans="3:16" x14ac:dyDescent="0.3">
      <c r="C135" s="114"/>
      <c r="D135" s="238" t="s">
        <v>698</v>
      </c>
      <c r="E135" s="239" t="s">
        <v>0</v>
      </c>
      <c r="F135" s="240">
        <v>1</v>
      </c>
      <c r="G135" s="241">
        <v>2.2999999999999998</v>
      </c>
      <c r="H135" s="241"/>
      <c r="I135" s="241">
        <v>1.1000000000000001</v>
      </c>
      <c r="J135" s="242">
        <v>1</v>
      </c>
      <c r="K135" s="237"/>
      <c r="L135" s="237">
        <f t="shared" si="2"/>
        <v>2.5299999999999998</v>
      </c>
      <c r="M135" s="111"/>
      <c r="N135" s="111"/>
      <c r="O135" s="111"/>
      <c r="P135" s="111"/>
    </row>
    <row r="136" spans="3:16" x14ac:dyDescent="0.3">
      <c r="C136" s="114"/>
      <c r="D136" s="238" t="s">
        <v>695</v>
      </c>
      <c r="E136" s="239" t="s">
        <v>0</v>
      </c>
      <c r="F136" s="240">
        <v>1</v>
      </c>
      <c r="G136" s="241">
        <v>2.5099999999999998</v>
      </c>
      <c r="H136" s="241"/>
      <c r="I136" s="241">
        <v>2.66</v>
      </c>
      <c r="J136" s="242">
        <v>1</v>
      </c>
      <c r="K136" s="237"/>
      <c r="L136" s="237">
        <f t="shared" si="2"/>
        <v>6.6765999999999996</v>
      </c>
      <c r="M136" s="111"/>
      <c r="N136" s="111"/>
      <c r="O136" s="111"/>
      <c r="P136" s="111"/>
    </row>
    <row r="137" spans="3:16" x14ac:dyDescent="0.3">
      <c r="C137" s="114"/>
      <c r="D137" s="238" t="s">
        <v>692</v>
      </c>
      <c r="E137" s="239" t="s">
        <v>0</v>
      </c>
      <c r="F137" s="240">
        <v>1</v>
      </c>
      <c r="G137" s="241">
        <v>0.6</v>
      </c>
      <c r="H137" s="241"/>
      <c r="I137" s="241">
        <v>2.86</v>
      </c>
      <c r="J137" s="242">
        <v>1</v>
      </c>
      <c r="K137" s="237"/>
      <c r="L137" s="237">
        <f t="shared" si="2"/>
        <v>1.716</v>
      </c>
      <c r="M137" s="111"/>
      <c r="N137" s="111"/>
      <c r="O137" s="111"/>
      <c r="P137" s="111"/>
    </row>
    <row r="138" spans="3:16" x14ac:dyDescent="0.3">
      <c r="C138" s="114"/>
      <c r="D138" s="238" t="s">
        <v>737</v>
      </c>
      <c r="E138" s="239" t="s">
        <v>0</v>
      </c>
      <c r="F138" s="240">
        <v>1</v>
      </c>
      <c r="G138" s="241">
        <f>1.65+1.46</f>
        <v>3.11</v>
      </c>
      <c r="H138" s="241"/>
      <c r="I138" s="241">
        <v>2.86</v>
      </c>
      <c r="J138" s="242">
        <v>2</v>
      </c>
      <c r="K138" s="237"/>
      <c r="L138" s="237">
        <f t="shared" si="2"/>
        <v>17.789199999999997</v>
      </c>
      <c r="M138" s="111"/>
      <c r="N138" s="111"/>
      <c r="O138" s="111"/>
      <c r="P138" s="111"/>
    </row>
    <row r="139" spans="3:16" x14ac:dyDescent="0.3">
      <c r="C139" s="114"/>
      <c r="D139" s="238" t="s">
        <v>738</v>
      </c>
      <c r="E139" s="239" t="s">
        <v>0</v>
      </c>
      <c r="F139" s="240">
        <v>1</v>
      </c>
      <c r="G139" s="241">
        <v>1.75</v>
      </c>
      <c r="H139" s="241"/>
      <c r="I139" s="241">
        <v>1.86</v>
      </c>
      <c r="J139" s="242">
        <v>2</v>
      </c>
      <c r="K139" s="237"/>
      <c r="L139" s="237">
        <f t="shared" si="2"/>
        <v>6.5100000000000007</v>
      </c>
      <c r="M139" s="111"/>
      <c r="N139" s="111"/>
      <c r="O139" s="111"/>
      <c r="P139" s="111"/>
    </row>
    <row r="140" spans="3:16" x14ac:dyDescent="0.3">
      <c r="C140" s="114"/>
      <c r="D140" s="238" t="s">
        <v>696</v>
      </c>
      <c r="E140" s="239" t="s">
        <v>0</v>
      </c>
      <c r="F140" s="240">
        <v>1</v>
      </c>
      <c r="G140" s="241">
        <v>1.5</v>
      </c>
      <c r="H140" s="241"/>
      <c r="I140" s="241">
        <v>2.66</v>
      </c>
      <c r="J140" s="242">
        <v>1</v>
      </c>
      <c r="K140" s="237"/>
      <c r="L140" s="237">
        <f t="shared" si="2"/>
        <v>3.99</v>
      </c>
      <c r="M140" s="111"/>
      <c r="N140" s="111"/>
      <c r="O140" s="111"/>
      <c r="P140" s="111"/>
    </row>
    <row r="141" spans="3:16" x14ac:dyDescent="0.3">
      <c r="C141" s="114"/>
      <c r="D141" s="263"/>
      <c r="E141" s="116"/>
      <c r="F141" s="264"/>
      <c r="G141" s="149"/>
      <c r="H141" s="149"/>
      <c r="I141" s="149"/>
      <c r="J141" s="109"/>
      <c r="K141" s="110"/>
      <c r="L141" s="110"/>
      <c r="M141" s="111"/>
      <c r="N141" s="111"/>
      <c r="O141" s="111"/>
      <c r="P141" s="111"/>
    </row>
    <row r="142" spans="3:16" x14ac:dyDescent="0.3">
      <c r="C142" s="99" t="s">
        <v>1181</v>
      </c>
      <c r="D142" s="100" t="s">
        <v>521</v>
      </c>
      <c r="E142" s="132" t="s">
        <v>0</v>
      </c>
      <c r="F142" s="1"/>
      <c r="G142" s="2"/>
      <c r="H142" s="2"/>
      <c r="I142" s="2"/>
      <c r="J142" s="3"/>
      <c r="K142" s="103"/>
      <c r="L142" s="103"/>
      <c r="M142" s="103"/>
      <c r="N142" s="103"/>
      <c r="O142" s="103"/>
      <c r="P142" s="103">
        <f>SUM(L142:L184)</f>
        <v>136.54499999999999</v>
      </c>
    </row>
    <row r="143" spans="3:16" x14ac:dyDescent="0.3">
      <c r="C143" s="118"/>
      <c r="D143" s="137" t="s">
        <v>444</v>
      </c>
      <c r="E143" s="138"/>
      <c r="F143" s="1"/>
      <c r="G143" s="2"/>
      <c r="H143" s="2"/>
      <c r="I143" s="2"/>
      <c r="J143" s="3"/>
      <c r="K143" s="113"/>
      <c r="L143" s="113"/>
      <c r="M143" s="113"/>
      <c r="N143" s="113"/>
      <c r="O143" s="113"/>
      <c r="P143" s="113"/>
    </row>
    <row r="144" spans="3:16" x14ac:dyDescent="0.3">
      <c r="C144" s="106"/>
      <c r="D144" s="140" t="s">
        <v>33</v>
      </c>
      <c r="E144" s="138"/>
      <c r="F144" s="139"/>
      <c r="G144" s="2"/>
      <c r="H144" s="2"/>
      <c r="I144" s="2"/>
      <c r="J144" s="119"/>
      <c r="K144" s="113"/>
      <c r="L144" s="113"/>
      <c r="M144" s="113"/>
      <c r="N144" s="113"/>
      <c r="O144" s="113"/>
      <c r="P144" s="113"/>
    </row>
    <row r="145" spans="3:16" x14ac:dyDescent="0.3">
      <c r="C145" s="114"/>
      <c r="D145" s="238" t="s">
        <v>696</v>
      </c>
      <c r="E145" s="239" t="s">
        <v>0</v>
      </c>
      <c r="F145" s="240">
        <v>1</v>
      </c>
      <c r="G145" s="241">
        <v>2.5</v>
      </c>
      <c r="H145" s="241"/>
      <c r="I145" s="241">
        <v>2.08</v>
      </c>
      <c r="J145" s="242">
        <v>1</v>
      </c>
      <c r="K145" s="237"/>
      <c r="L145" s="237">
        <f t="shared" ref="L145:L156" si="3">PRODUCT(F145:J145)</f>
        <v>5.2</v>
      </c>
      <c r="M145" s="111"/>
      <c r="N145" s="111"/>
      <c r="O145" s="111"/>
      <c r="P145" s="111"/>
    </row>
    <row r="146" spans="3:16" x14ac:dyDescent="0.3">
      <c r="C146" s="114"/>
      <c r="D146" s="238" t="s">
        <v>697</v>
      </c>
      <c r="E146" s="239" t="s">
        <v>0</v>
      </c>
      <c r="F146" s="240">
        <v>1</v>
      </c>
      <c r="G146" s="241">
        <v>2.2999999999999998</v>
      </c>
      <c r="H146" s="241"/>
      <c r="I146" s="241">
        <v>1.83</v>
      </c>
      <c r="J146" s="242">
        <v>1</v>
      </c>
      <c r="K146" s="237"/>
      <c r="L146" s="237">
        <f t="shared" si="3"/>
        <v>4.2089999999999996</v>
      </c>
      <c r="M146" s="111"/>
      <c r="N146" s="111"/>
      <c r="O146" s="111"/>
      <c r="P146" s="111"/>
    </row>
    <row r="147" spans="3:16" x14ac:dyDescent="0.3">
      <c r="C147" s="114"/>
      <c r="D147" s="238" t="s">
        <v>699</v>
      </c>
      <c r="E147" s="239" t="s">
        <v>0</v>
      </c>
      <c r="F147" s="240">
        <v>1</v>
      </c>
      <c r="G147" s="241">
        <v>1.63</v>
      </c>
      <c r="H147" s="241"/>
      <c r="I147" s="241">
        <v>1.83</v>
      </c>
      <c r="J147" s="242">
        <v>1</v>
      </c>
      <c r="K147" s="237"/>
      <c r="L147" s="237">
        <f t="shared" si="3"/>
        <v>2.9828999999999999</v>
      </c>
      <c r="M147" s="111"/>
      <c r="N147" s="111"/>
      <c r="O147" s="111"/>
      <c r="P147" s="111"/>
    </row>
    <row r="148" spans="3:16" x14ac:dyDescent="0.3">
      <c r="C148" s="114"/>
      <c r="D148" s="238" t="s">
        <v>701</v>
      </c>
      <c r="E148" s="239" t="s">
        <v>0</v>
      </c>
      <c r="F148" s="240">
        <v>1</v>
      </c>
      <c r="G148" s="241">
        <f>1.08+0.15</f>
        <v>1.23</v>
      </c>
      <c r="H148" s="241"/>
      <c r="I148" s="241">
        <v>1.83</v>
      </c>
      <c r="J148" s="242">
        <v>1</v>
      </c>
      <c r="K148" s="237"/>
      <c r="L148" s="237">
        <f t="shared" si="3"/>
        <v>2.2509000000000001</v>
      </c>
      <c r="M148" s="111"/>
      <c r="N148" s="111"/>
      <c r="O148" s="111"/>
      <c r="P148" s="111"/>
    </row>
    <row r="149" spans="3:16" x14ac:dyDescent="0.3">
      <c r="C149" s="114"/>
      <c r="D149" s="238" t="s">
        <v>706</v>
      </c>
      <c r="E149" s="239" t="s">
        <v>0</v>
      </c>
      <c r="F149" s="240">
        <v>1</v>
      </c>
      <c r="G149" s="241">
        <v>1.47</v>
      </c>
      <c r="H149" s="241"/>
      <c r="I149" s="241">
        <v>2.68</v>
      </c>
      <c r="J149" s="242">
        <v>1</v>
      </c>
      <c r="K149" s="237"/>
      <c r="L149" s="237">
        <f t="shared" si="3"/>
        <v>3.9396</v>
      </c>
      <c r="M149" s="111"/>
      <c r="N149" s="111"/>
      <c r="O149" s="111"/>
      <c r="P149" s="111"/>
    </row>
    <row r="150" spans="3:16" x14ac:dyDescent="0.3">
      <c r="C150" s="114"/>
      <c r="D150" s="238" t="s">
        <v>739</v>
      </c>
      <c r="E150" s="239" t="s">
        <v>0</v>
      </c>
      <c r="F150" s="240">
        <v>1</v>
      </c>
      <c r="G150" s="241">
        <v>2.2999999999999998</v>
      </c>
      <c r="H150" s="241"/>
      <c r="I150" s="241">
        <v>1.83</v>
      </c>
      <c r="J150" s="242">
        <v>1</v>
      </c>
      <c r="K150" s="237"/>
      <c r="L150" s="237">
        <f t="shared" si="3"/>
        <v>4.2089999999999996</v>
      </c>
      <c r="M150" s="111"/>
      <c r="N150" s="111"/>
      <c r="O150" s="111"/>
      <c r="P150" s="111"/>
    </row>
    <row r="151" spans="3:16" x14ac:dyDescent="0.3">
      <c r="C151" s="114"/>
      <c r="D151" s="238" t="s">
        <v>709</v>
      </c>
      <c r="E151" s="239" t="s">
        <v>0</v>
      </c>
      <c r="F151" s="240">
        <v>1</v>
      </c>
      <c r="G151" s="241">
        <f>1.08+0.15</f>
        <v>1.23</v>
      </c>
      <c r="H151" s="241"/>
      <c r="I151" s="241">
        <v>1.83</v>
      </c>
      <c r="J151" s="242">
        <v>1</v>
      </c>
      <c r="K151" s="237"/>
      <c r="L151" s="237">
        <f t="shared" si="3"/>
        <v>2.2509000000000001</v>
      </c>
      <c r="M151" s="111"/>
      <c r="N151" s="111"/>
      <c r="O151" s="111"/>
      <c r="P151" s="111"/>
    </row>
    <row r="152" spans="3:16" x14ac:dyDescent="0.3">
      <c r="C152" s="114"/>
      <c r="D152" s="238"/>
      <c r="E152" s="239" t="s">
        <v>0</v>
      </c>
      <c r="F152" s="240">
        <v>1</v>
      </c>
      <c r="G152" s="241">
        <v>0.51</v>
      </c>
      <c r="H152" s="241"/>
      <c r="I152" s="241">
        <v>2.68</v>
      </c>
      <c r="J152" s="242">
        <v>1</v>
      </c>
      <c r="K152" s="237"/>
      <c r="L152" s="237">
        <f t="shared" si="3"/>
        <v>1.3668</v>
      </c>
      <c r="M152" s="111"/>
      <c r="N152" s="111"/>
      <c r="O152" s="111"/>
      <c r="P152" s="111"/>
    </row>
    <row r="153" spans="3:16" x14ac:dyDescent="0.3">
      <c r="C153" s="114"/>
      <c r="D153" s="238" t="s">
        <v>711</v>
      </c>
      <c r="E153" s="239" t="s">
        <v>0</v>
      </c>
      <c r="F153" s="240">
        <v>1</v>
      </c>
      <c r="G153" s="241">
        <f>1+0.15</f>
        <v>1.1499999999999999</v>
      </c>
      <c r="H153" s="241"/>
      <c r="I153" s="241">
        <v>2.48</v>
      </c>
      <c r="J153" s="242">
        <v>1</v>
      </c>
      <c r="K153" s="237"/>
      <c r="L153" s="237">
        <f t="shared" si="3"/>
        <v>2.8519999999999999</v>
      </c>
      <c r="M153" s="111"/>
      <c r="N153" s="111"/>
      <c r="O153" s="111"/>
      <c r="P153" s="111"/>
    </row>
    <row r="154" spans="3:16" x14ac:dyDescent="0.3">
      <c r="C154" s="114"/>
      <c r="D154" s="238" t="s">
        <v>720</v>
      </c>
      <c r="E154" s="239" t="s">
        <v>0</v>
      </c>
      <c r="F154" s="240">
        <v>1</v>
      </c>
      <c r="G154" s="241">
        <v>2.83</v>
      </c>
      <c r="H154" s="241"/>
      <c r="I154" s="241">
        <v>1.83</v>
      </c>
      <c r="J154" s="242">
        <v>1</v>
      </c>
      <c r="K154" s="237"/>
      <c r="L154" s="237">
        <f t="shared" si="3"/>
        <v>5.1789000000000005</v>
      </c>
      <c r="M154" s="111"/>
      <c r="N154" s="111"/>
      <c r="O154" s="111"/>
      <c r="P154" s="111"/>
    </row>
    <row r="155" spans="3:16" x14ac:dyDescent="0.3">
      <c r="C155" s="114"/>
      <c r="D155" s="238" t="s">
        <v>721</v>
      </c>
      <c r="E155" s="239" t="s">
        <v>0</v>
      </c>
      <c r="F155" s="240">
        <v>1</v>
      </c>
      <c r="G155" s="241">
        <v>2.7</v>
      </c>
      <c r="H155" s="241"/>
      <c r="I155" s="241">
        <v>1.83</v>
      </c>
      <c r="J155" s="242">
        <v>1</v>
      </c>
      <c r="K155" s="237"/>
      <c r="L155" s="237">
        <f t="shared" si="3"/>
        <v>4.9410000000000007</v>
      </c>
      <c r="M155" s="111"/>
      <c r="N155" s="111"/>
      <c r="O155" s="111"/>
      <c r="P155" s="111"/>
    </row>
    <row r="156" spans="3:16" x14ac:dyDescent="0.3">
      <c r="C156" s="114"/>
      <c r="D156" s="238"/>
      <c r="E156" s="239" t="s">
        <v>0</v>
      </c>
      <c r="F156" s="240">
        <v>1</v>
      </c>
      <c r="G156" s="241">
        <f>0.79+1.92</f>
        <v>2.71</v>
      </c>
      <c r="H156" s="241"/>
      <c r="I156" s="241">
        <v>2.68</v>
      </c>
      <c r="J156" s="242">
        <v>1</v>
      </c>
      <c r="K156" s="237"/>
      <c r="L156" s="237">
        <f t="shared" si="3"/>
        <v>7.2628000000000004</v>
      </c>
      <c r="M156" s="111"/>
      <c r="N156" s="111"/>
      <c r="O156" s="111"/>
      <c r="P156" s="111"/>
    </row>
    <row r="157" spans="3:16" x14ac:dyDescent="0.3">
      <c r="C157" s="114"/>
      <c r="D157" s="238" t="s">
        <v>740</v>
      </c>
      <c r="E157" s="239" t="s">
        <v>0</v>
      </c>
      <c r="F157" s="240">
        <v>1</v>
      </c>
      <c r="G157" s="241">
        <v>4.3</v>
      </c>
      <c r="H157" s="241"/>
      <c r="I157" s="241">
        <v>1.2</v>
      </c>
      <c r="J157" s="242">
        <v>1</v>
      </c>
      <c r="K157" s="237"/>
      <c r="L157" s="237">
        <f>PRODUCT(F157:J157)</f>
        <v>5.1599999999999993</v>
      </c>
      <c r="M157" s="111"/>
      <c r="N157" s="111"/>
      <c r="O157" s="111"/>
      <c r="P157" s="111"/>
    </row>
    <row r="158" spans="3:16" x14ac:dyDescent="0.3">
      <c r="C158" s="114"/>
      <c r="D158" s="238" t="s">
        <v>741</v>
      </c>
      <c r="E158" s="239" t="s">
        <v>0</v>
      </c>
      <c r="F158" s="240">
        <v>1</v>
      </c>
      <c r="G158" s="241">
        <v>4.3</v>
      </c>
      <c r="H158" s="241"/>
      <c r="I158" s="241">
        <v>1.2</v>
      </c>
      <c r="J158" s="242">
        <v>1</v>
      </c>
      <c r="K158" s="237"/>
      <c r="L158" s="237">
        <f>PRODUCT(F158:J158)</f>
        <v>5.1599999999999993</v>
      </c>
      <c r="M158" s="111"/>
      <c r="N158" s="111"/>
      <c r="O158" s="111"/>
      <c r="P158" s="111"/>
    </row>
    <row r="159" spans="3:16" x14ac:dyDescent="0.3">
      <c r="C159" s="114"/>
      <c r="D159" s="238" t="s">
        <v>742</v>
      </c>
      <c r="E159" s="239" t="s">
        <v>0</v>
      </c>
      <c r="F159" s="240">
        <v>1</v>
      </c>
      <c r="G159" s="241">
        <v>4.3</v>
      </c>
      <c r="H159" s="241"/>
      <c r="I159" s="241">
        <v>1.2</v>
      </c>
      <c r="J159" s="242">
        <v>1</v>
      </c>
      <c r="K159" s="237"/>
      <c r="L159" s="237">
        <f>PRODUCT(F159:J159)</f>
        <v>5.1599999999999993</v>
      </c>
      <c r="M159" s="111"/>
      <c r="N159" s="111"/>
      <c r="O159" s="111"/>
      <c r="P159" s="111"/>
    </row>
    <row r="160" spans="3:16" x14ac:dyDescent="0.3">
      <c r="C160" s="114"/>
      <c r="D160" s="140" t="s">
        <v>68</v>
      </c>
      <c r="E160" s="144"/>
      <c r="F160" s="119"/>
      <c r="G160" s="122"/>
      <c r="H160" s="122"/>
      <c r="I160" s="122"/>
      <c r="J160" s="119"/>
      <c r="K160" s="113"/>
      <c r="L160" s="113"/>
      <c r="M160" s="111"/>
      <c r="N160" s="111"/>
      <c r="O160" s="111"/>
      <c r="P160" s="111"/>
    </row>
    <row r="161" spans="3:16" x14ac:dyDescent="0.3">
      <c r="C161" s="114"/>
      <c r="D161" s="238" t="s">
        <v>729</v>
      </c>
      <c r="E161" s="239" t="s">
        <v>0</v>
      </c>
      <c r="F161" s="240">
        <v>1</v>
      </c>
      <c r="G161" s="241">
        <v>1.63</v>
      </c>
      <c r="H161" s="241"/>
      <c r="I161" s="241">
        <v>1.83</v>
      </c>
      <c r="J161" s="242">
        <v>1</v>
      </c>
      <c r="K161" s="237"/>
      <c r="L161" s="237">
        <f t="shared" ref="L161:L171" si="4">PRODUCT(F161:J161)</f>
        <v>2.9828999999999999</v>
      </c>
      <c r="M161" s="111"/>
      <c r="N161" s="111"/>
      <c r="O161" s="111"/>
      <c r="P161" s="111"/>
    </row>
    <row r="162" spans="3:16" x14ac:dyDescent="0.3">
      <c r="C162" s="114"/>
      <c r="D162" s="238" t="s">
        <v>730</v>
      </c>
      <c r="E162" s="239" t="s">
        <v>0</v>
      </c>
      <c r="F162" s="240">
        <v>1</v>
      </c>
      <c r="G162" s="241">
        <v>3.25</v>
      </c>
      <c r="H162" s="241"/>
      <c r="I162" s="241">
        <v>1.83</v>
      </c>
      <c r="J162" s="242">
        <v>1</v>
      </c>
      <c r="K162" s="237"/>
      <c r="L162" s="237">
        <f t="shared" si="4"/>
        <v>5.9474999999999998</v>
      </c>
      <c r="M162" s="111"/>
      <c r="N162" s="111"/>
      <c r="O162" s="111"/>
      <c r="P162" s="111"/>
    </row>
    <row r="163" spans="3:16" x14ac:dyDescent="0.3">
      <c r="C163" s="114"/>
      <c r="D163" s="238" t="s">
        <v>732</v>
      </c>
      <c r="E163" s="239" t="s">
        <v>0</v>
      </c>
      <c r="F163" s="240">
        <v>1</v>
      </c>
      <c r="G163" s="241">
        <f>1.08+0.15</f>
        <v>1.23</v>
      </c>
      <c r="H163" s="241"/>
      <c r="I163" s="241">
        <v>1.83</v>
      </c>
      <c r="J163" s="242">
        <v>1</v>
      </c>
      <c r="K163" s="237"/>
      <c r="L163" s="237">
        <f t="shared" si="4"/>
        <v>2.2509000000000001</v>
      </c>
      <c r="M163" s="111"/>
      <c r="N163" s="111"/>
      <c r="O163" s="111"/>
      <c r="P163" s="111"/>
    </row>
    <row r="164" spans="3:16" x14ac:dyDescent="0.3">
      <c r="C164" s="114"/>
      <c r="D164" s="238"/>
      <c r="E164" s="239" t="s">
        <v>0</v>
      </c>
      <c r="F164" s="240">
        <v>1</v>
      </c>
      <c r="G164" s="241">
        <f>0.51+0.15</f>
        <v>0.66</v>
      </c>
      <c r="H164" s="241"/>
      <c r="I164" s="241">
        <v>2.68</v>
      </c>
      <c r="J164" s="242">
        <v>1</v>
      </c>
      <c r="K164" s="237"/>
      <c r="L164" s="237">
        <f t="shared" si="4"/>
        <v>1.7688000000000001</v>
      </c>
      <c r="M164" s="111"/>
      <c r="N164" s="111"/>
      <c r="O164" s="111"/>
      <c r="P164" s="111"/>
    </row>
    <row r="165" spans="3:16" x14ac:dyDescent="0.3">
      <c r="C165" s="114"/>
      <c r="D165" s="238" t="s">
        <v>734</v>
      </c>
      <c r="E165" s="239" t="s">
        <v>0</v>
      </c>
      <c r="F165" s="240">
        <v>1</v>
      </c>
      <c r="G165" s="241">
        <v>2.2999999999999998</v>
      </c>
      <c r="H165" s="241"/>
      <c r="I165" s="241">
        <v>1.83</v>
      </c>
      <c r="J165" s="242">
        <v>1</v>
      </c>
      <c r="K165" s="237"/>
      <c r="L165" s="237">
        <f t="shared" si="4"/>
        <v>4.2089999999999996</v>
      </c>
      <c r="M165" s="111"/>
      <c r="N165" s="111"/>
      <c r="O165" s="111"/>
      <c r="P165" s="111"/>
    </row>
    <row r="166" spans="3:16" x14ac:dyDescent="0.3">
      <c r="C166" s="114"/>
      <c r="D166" s="238" t="s">
        <v>706</v>
      </c>
      <c r="E166" s="239" t="s">
        <v>0</v>
      </c>
      <c r="F166" s="240">
        <v>1</v>
      </c>
      <c r="G166" s="241">
        <v>1.47</v>
      </c>
      <c r="H166" s="241"/>
      <c r="I166" s="241">
        <v>2.68</v>
      </c>
      <c r="J166" s="242">
        <v>1</v>
      </c>
      <c r="K166" s="237"/>
      <c r="L166" s="237">
        <f t="shared" si="4"/>
        <v>3.9396</v>
      </c>
      <c r="M166" s="111"/>
      <c r="N166" s="111"/>
      <c r="O166" s="111"/>
      <c r="P166" s="111"/>
    </row>
    <row r="167" spans="3:16" x14ac:dyDescent="0.3">
      <c r="C167" s="114"/>
      <c r="D167" s="238"/>
      <c r="E167" s="239" t="s">
        <v>0</v>
      </c>
      <c r="F167" s="240">
        <v>1</v>
      </c>
      <c r="G167" s="241">
        <v>1.33</v>
      </c>
      <c r="H167" s="241"/>
      <c r="I167" s="241">
        <v>1.83</v>
      </c>
      <c r="J167" s="242">
        <v>1</v>
      </c>
      <c r="K167" s="237"/>
      <c r="L167" s="237">
        <f t="shared" si="4"/>
        <v>2.4339000000000004</v>
      </c>
      <c r="M167" s="111"/>
      <c r="N167" s="111"/>
      <c r="O167" s="111"/>
      <c r="P167" s="111"/>
    </row>
    <row r="168" spans="3:16" x14ac:dyDescent="0.3">
      <c r="C168" s="99"/>
      <c r="D168" s="238" t="s">
        <v>701</v>
      </c>
      <c r="E168" s="239" t="s">
        <v>0</v>
      </c>
      <c r="F168" s="240">
        <v>1</v>
      </c>
      <c r="G168" s="241">
        <f>1.08+0.15</f>
        <v>1.23</v>
      </c>
      <c r="H168" s="241"/>
      <c r="I168" s="241">
        <v>1.83</v>
      </c>
      <c r="J168" s="242">
        <v>1</v>
      </c>
      <c r="K168" s="237"/>
      <c r="L168" s="237">
        <f t="shared" si="4"/>
        <v>2.2509000000000001</v>
      </c>
      <c r="M168" s="103"/>
      <c r="N168" s="103"/>
      <c r="O168" s="103"/>
      <c r="P168" s="103"/>
    </row>
    <row r="169" spans="3:16" x14ac:dyDescent="0.3">
      <c r="C169" s="114"/>
      <c r="D169" s="238" t="s">
        <v>699</v>
      </c>
      <c r="E169" s="239" t="s">
        <v>0</v>
      </c>
      <c r="F169" s="240">
        <v>1</v>
      </c>
      <c r="G169" s="241">
        <v>1.63</v>
      </c>
      <c r="H169" s="241"/>
      <c r="I169" s="241">
        <v>1.83</v>
      </c>
      <c r="J169" s="242">
        <v>1</v>
      </c>
      <c r="K169" s="237"/>
      <c r="L169" s="237">
        <f t="shared" si="4"/>
        <v>2.9828999999999999</v>
      </c>
      <c r="M169" s="111"/>
      <c r="N169" s="111"/>
      <c r="O169" s="111"/>
      <c r="P169" s="111"/>
    </row>
    <row r="170" spans="3:16" x14ac:dyDescent="0.3">
      <c r="C170" s="114"/>
      <c r="D170" s="238" t="s">
        <v>736</v>
      </c>
      <c r="E170" s="239" t="s">
        <v>0</v>
      </c>
      <c r="F170" s="240">
        <v>1</v>
      </c>
      <c r="G170" s="241">
        <v>2.2999999999999998</v>
      </c>
      <c r="H170" s="241"/>
      <c r="I170" s="241">
        <v>1.83</v>
      </c>
      <c r="J170" s="242">
        <v>1</v>
      </c>
      <c r="K170" s="237"/>
      <c r="L170" s="237">
        <f t="shared" si="4"/>
        <v>4.2089999999999996</v>
      </c>
      <c r="M170" s="111"/>
      <c r="N170" s="111"/>
      <c r="O170" s="111"/>
      <c r="P170" s="111"/>
    </row>
    <row r="171" spans="3:16" x14ac:dyDescent="0.3">
      <c r="C171" s="114"/>
      <c r="D171" s="238" t="s">
        <v>696</v>
      </c>
      <c r="E171" s="239" t="s">
        <v>0</v>
      </c>
      <c r="F171" s="240">
        <v>1</v>
      </c>
      <c r="G171" s="241">
        <f>1.5+0.15</f>
        <v>1.65</v>
      </c>
      <c r="H171" s="241"/>
      <c r="I171" s="241">
        <v>2.68</v>
      </c>
      <c r="J171" s="242">
        <v>1</v>
      </c>
      <c r="K171" s="237"/>
      <c r="L171" s="237">
        <f t="shared" si="4"/>
        <v>4.4219999999999997</v>
      </c>
      <c r="M171" s="111"/>
      <c r="N171" s="111"/>
      <c r="O171" s="111"/>
      <c r="P171" s="111"/>
    </row>
    <row r="172" spans="3:16" x14ac:dyDescent="0.3">
      <c r="C172" s="114"/>
      <c r="D172" s="140" t="s">
        <v>45</v>
      </c>
      <c r="E172" s="138"/>
      <c r="F172" s="139"/>
      <c r="G172" s="2"/>
      <c r="H172" s="2"/>
      <c r="I172" s="2"/>
      <c r="J172" s="119"/>
      <c r="K172" s="113"/>
      <c r="L172" s="113"/>
      <c r="M172" s="111"/>
      <c r="N172" s="111"/>
      <c r="O172" s="111"/>
      <c r="P172" s="111"/>
    </row>
    <row r="173" spans="3:16" x14ac:dyDescent="0.3">
      <c r="C173" s="114"/>
      <c r="D173" s="238" t="s">
        <v>729</v>
      </c>
      <c r="E173" s="239" t="s">
        <v>0</v>
      </c>
      <c r="F173" s="240">
        <v>1</v>
      </c>
      <c r="G173" s="241">
        <v>1.63</v>
      </c>
      <c r="H173" s="241"/>
      <c r="I173" s="241">
        <v>1.81</v>
      </c>
      <c r="J173" s="242">
        <v>1</v>
      </c>
      <c r="K173" s="237"/>
      <c r="L173" s="237">
        <f t="shared" ref="L173:L183" si="5">PRODUCT(F173:J173)</f>
        <v>2.9502999999999999</v>
      </c>
      <c r="M173" s="111"/>
      <c r="N173" s="111"/>
      <c r="O173" s="111"/>
      <c r="P173" s="111"/>
    </row>
    <row r="174" spans="3:16" x14ac:dyDescent="0.3">
      <c r="C174" s="114"/>
      <c r="D174" s="238" t="s">
        <v>730</v>
      </c>
      <c r="E174" s="239" t="s">
        <v>0</v>
      </c>
      <c r="F174" s="240">
        <v>1</v>
      </c>
      <c r="G174" s="241">
        <v>3.25</v>
      </c>
      <c r="H174" s="241"/>
      <c r="I174" s="241">
        <v>1.81</v>
      </c>
      <c r="J174" s="242">
        <v>1</v>
      </c>
      <c r="K174" s="237"/>
      <c r="L174" s="237">
        <f t="shared" si="5"/>
        <v>5.8825000000000003</v>
      </c>
      <c r="M174" s="111"/>
      <c r="N174" s="111"/>
      <c r="O174" s="111"/>
      <c r="P174" s="111"/>
    </row>
    <row r="175" spans="3:16" x14ac:dyDescent="0.3">
      <c r="C175" s="114"/>
      <c r="D175" s="238" t="s">
        <v>732</v>
      </c>
      <c r="E175" s="239" t="s">
        <v>0</v>
      </c>
      <c r="F175" s="240">
        <v>1</v>
      </c>
      <c r="G175" s="241">
        <f>1.08+0.15</f>
        <v>1.23</v>
      </c>
      <c r="H175" s="241"/>
      <c r="I175" s="241">
        <v>1.81</v>
      </c>
      <c r="J175" s="242">
        <v>1</v>
      </c>
      <c r="K175" s="237"/>
      <c r="L175" s="237">
        <f t="shared" si="5"/>
        <v>2.2263000000000002</v>
      </c>
      <c r="M175" s="111"/>
      <c r="N175" s="111"/>
      <c r="O175" s="111"/>
      <c r="P175" s="111"/>
    </row>
    <row r="176" spans="3:16" x14ac:dyDescent="0.3">
      <c r="C176" s="114"/>
      <c r="D176" s="238"/>
      <c r="E176" s="239" t="s">
        <v>0</v>
      </c>
      <c r="F176" s="240">
        <v>1</v>
      </c>
      <c r="G176" s="241">
        <f>0.51+0.15</f>
        <v>0.66</v>
      </c>
      <c r="H176" s="241"/>
      <c r="I176" s="241">
        <v>2.66</v>
      </c>
      <c r="J176" s="242">
        <v>1</v>
      </c>
      <c r="K176" s="237"/>
      <c r="L176" s="237">
        <f t="shared" si="5"/>
        <v>1.7556000000000003</v>
      </c>
      <c r="M176" s="111"/>
      <c r="N176" s="111"/>
      <c r="O176" s="111"/>
      <c r="P176" s="111"/>
    </row>
    <row r="177" spans="3:16" x14ac:dyDescent="0.3">
      <c r="C177" s="114"/>
      <c r="D177" s="238" t="s">
        <v>734</v>
      </c>
      <c r="E177" s="239" t="s">
        <v>0</v>
      </c>
      <c r="F177" s="240">
        <v>1</v>
      </c>
      <c r="G177" s="241">
        <v>2.2999999999999998</v>
      </c>
      <c r="H177" s="241"/>
      <c r="I177" s="241">
        <v>1.81</v>
      </c>
      <c r="J177" s="242">
        <v>1</v>
      </c>
      <c r="K177" s="237"/>
      <c r="L177" s="237">
        <f t="shared" si="5"/>
        <v>4.1629999999999994</v>
      </c>
      <c r="M177" s="111"/>
      <c r="N177" s="111"/>
      <c r="O177" s="111"/>
      <c r="P177" s="111"/>
    </row>
    <row r="178" spans="3:16" x14ac:dyDescent="0.3">
      <c r="C178" s="114"/>
      <c r="D178" s="238" t="s">
        <v>706</v>
      </c>
      <c r="E178" s="239" t="s">
        <v>0</v>
      </c>
      <c r="F178" s="240">
        <v>1</v>
      </c>
      <c r="G178" s="241">
        <v>1.47</v>
      </c>
      <c r="H178" s="241"/>
      <c r="I178" s="241">
        <v>2.66</v>
      </c>
      <c r="J178" s="242">
        <v>1</v>
      </c>
      <c r="K178" s="237"/>
      <c r="L178" s="237">
        <f t="shared" si="5"/>
        <v>3.9102000000000001</v>
      </c>
      <c r="M178" s="111"/>
      <c r="N178" s="111"/>
      <c r="O178" s="111"/>
      <c r="P178" s="111"/>
    </row>
    <row r="179" spans="3:16" x14ac:dyDescent="0.3">
      <c r="C179" s="114"/>
      <c r="D179" s="238"/>
      <c r="E179" s="239" t="s">
        <v>0</v>
      </c>
      <c r="F179" s="240">
        <v>1</v>
      </c>
      <c r="G179" s="241">
        <v>1.33</v>
      </c>
      <c r="H179" s="241"/>
      <c r="I179" s="241">
        <v>1.81</v>
      </c>
      <c r="J179" s="242">
        <v>1</v>
      </c>
      <c r="K179" s="237"/>
      <c r="L179" s="237">
        <f t="shared" si="5"/>
        <v>2.4073000000000002</v>
      </c>
      <c r="M179" s="111"/>
      <c r="N179" s="111"/>
      <c r="O179" s="111"/>
      <c r="P179" s="111"/>
    </row>
    <row r="180" spans="3:16" x14ac:dyDescent="0.3">
      <c r="C180" s="114"/>
      <c r="D180" s="238" t="s">
        <v>701</v>
      </c>
      <c r="E180" s="239" t="s">
        <v>0</v>
      </c>
      <c r="F180" s="240">
        <v>1</v>
      </c>
      <c r="G180" s="241">
        <f>1.08+0.15</f>
        <v>1.23</v>
      </c>
      <c r="H180" s="241"/>
      <c r="I180" s="241">
        <v>1.81</v>
      </c>
      <c r="J180" s="242">
        <v>1</v>
      </c>
      <c r="K180" s="237"/>
      <c r="L180" s="237">
        <f t="shared" si="5"/>
        <v>2.2263000000000002</v>
      </c>
      <c r="M180" s="111"/>
      <c r="N180" s="111"/>
      <c r="O180" s="111"/>
      <c r="P180" s="111"/>
    </row>
    <row r="181" spans="3:16" x14ac:dyDescent="0.3">
      <c r="C181" s="114"/>
      <c r="D181" s="238" t="s">
        <v>699</v>
      </c>
      <c r="E181" s="239" t="s">
        <v>0</v>
      </c>
      <c r="F181" s="240">
        <v>1</v>
      </c>
      <c r="G181" s="241">
        <v>1.63</v>
      </c>
      <c r="H181" s="241"/>
      <c r="I181" s="241">
        <v>1.81</v>
      </c>
      <c r="J181" s="242">
        <v>1</v>
      </c>
      <c r="K181" s="237"/>
      <c r="L181" s="237">
        <f t="shared" si="5"/>
        <v>2.9502999999999999</v>
      </c>
      <c r="M181" s="111"/>
      <c r="N181" s="111"/>
      <c r="O181" s="111"/>
      <c r="P181" s="111"/>
    </row>
    <row r="182" spans="3:16" x14ac:dyDescent="0.3">
      <c r="C182" s="114"/>
      <c r="D182" s="238" t="s">
        <v>736</v>
      </c>
      <c r="E182" s="239" t="s">
        <v>0</v>
      </c>
      <c r="F182" s="240">
        <v>1</v>
      </c>
      <c r="G182" s="241">
        <v>2.2999999999999998</v>
      </c>
      <c r="H182" s="241"/>
      <c r="I182" s="241">
        <v>1.81</v>
      </c>
      <c r="J182" s="242">
        <v>1</v>
      </c>
      <c r="K182" s="237"/>
      <c r="L182" s="237">
        <f t="shared" si="5"/>
        <v>4.1629999999999994</v>
      </c>
      <c r="M182" s="111"/>
      <c r="N182" s="111"/>
      <c r="O182" s="111"/>
      <c r="P182" s="111"/>
    </row>
    <row r="183" spans="3:16" x14ac:dyDescent="0.3">
      <c r="C183" s="114"/>
      <c r="D183" s="238" t="s">
        <v>696</v>
      </c>
      <c r="E183" s="239" t="s">
        <v>0</v>
      </c>
      <c r="F183" s="240">
        <v>1</v>
      </c>
      <c r="G183" s="241">
        <f>1.5+0.15</f>
        <v>1.65</v>
      </c>
      <c r="H183" s="241"/>
      <c r="I183" s="241">
        <v>2.66</v>
      </c>
      <c r="J183" s="242">
        <v>1</v>
      </c>
      <c r="K183" s="237"/>
      <c r="L183" s="237">
        <f t="shared" si="5"/>
        <v>4.3890000000000002</v>
      </c>
      <c r="M183" s="111"/>
      <c r="N183" s="111"/>
      <c r="O183" s="111"/>
      <c r="P183" s="111"/>
    </row>
    <row r="184" spans="3:16" x14ac:dyDescent="0.3">
      <c r="C184" s="114"/>
      <c r="D184" s="279"/>
      <c r="E184" s="108"/>
      <c r="F184" s="148"/>
      <c r="G184" s="149"/>
      <c r="H184" s="149"/>
      <c r="I184" s="149"/>
      <c r="J184" s="112"/>
      <c r="K184" s="111"/>
      <c r="L184" s="111"/>
      <c r="M184" s="111"/>
      <c r="N184" s="111"/>
      <c r="O184" s="111"/>
      <c r="P184" s="111"/>
    </row>
    <row r="185" spans="3:16" x14ac:dyDescent="0.3">
      <c r="C185" s="99" t="s">
        <v>1182</v>
      </c>
      <c r="D185" s="226" t="s">
        <v>520</v>
      </c>
      <c r="E185" s="101" t="s">
        <v>0</v>
      </c>
      <c r="F185" s="1"/>
      <c r="G185" s="2"/>
      <c r="H185" s="2"/>
      <c r="I185" s="2"/>
      <c r="J185" s="3"/>
      <c r="K185" s="103"/>
      <c r="L185" s="103"/>
      <c r="M185" s="103"/>
      <c r="N185" s="103"/>
      <c r="O185" s="103"/>
      <c r="P185" s="103">
        <f>SUM(L185:L282)</f>
        <v>282.44999999999993</v>
      </c>
    </row>
    <row r="186" spans="3:16" x14ac:dyDescent="0.3">
      <c r="C186" s="106"/>
      <c r="D186" s="115" t="s">
        <v>127</v>
      </c>
      <c r="E186" s="121"/>
      <c r="F186" s="3"/>
      <c r="G186" s="122" t="s">
        <v>198</v>
      </c>
      <c r="H186" s="122"/>
      <c r="I186" s="122"/>
      <c r="J186" s="3"/>
      <c r="K186" s="113"/>
      <c r="L186" s="113"/>
      <c r="M186" s="113"/>
      <c r="N186" s="113"/>
      <c r="O186" s="113"/>
      <c r="P186" s="113"/>
    </row>
    <row r="187" spans="3:16" x14ac:dyDescent="0.3">
      <c r="C187" s="114"/>
      <c r="D187" s="233" t="s">
        <v>743</v>
      </c>
      <c r="E187" s="234" t="s">
        <v>0</v>
      </c>
      <c r="F187" s="235">
        <v>1</v>
      </c>
      <c r="G187" s="236">
        <f>0.25+0.15</f>
        <v>0.4</v>
      </c>
      <c r="H187" s="236"/>
      <c r="I187" s="236">
        <v>2.88</v>
      </c>
      <c r="J187" s="235">
        <v>1</v>
      </c>
      <c r="K187" s="237"/>
      <c r="L187" s="237">
        <f>IF(F187="","",PRODUCT(F187:J187))</f>
        <v>1.1519999999999999</v>
      </c>
      <c r="M187" s="111"/>
      <c r="N187" s="111"/>
      <c r="O187" s="111"/>
      <c r="P187" s="111"/>
    </row>
    <row r="188" spans="3:16" x14ac:dyDescent="0.3">
      <c r="C188" s="114"/>
      <c r="D188" s="233" t="s">
        <v>744</v>
      </c>
      <c r="E188" s="234" t="s">
        <v>0</v>
      </c>
      <c r="F188" s="235">
        <v>1</v>
      </c>
      <c r="G188" s="236">
        <f>1.2+1.3+1.2</f>
        <v>3.7</v>
      </c>
      <c r="H188" s="236"/>
      <c r="I188" s="236">
        <v>2.88</v>
      </c>
      <c r="J188" s="235">
        <v>1</v>
      </c>
      <c r="K188" s="237"/>
      <c r="L188" s="237">
        <f>IF(F188="","",PRODUCT(F188:J188))</f>
        <v>10.656000000000001</v>
      </c>
      <c r="M188" s="111"/>
      <c r="N188" s="111"/>
      <c r="O188" s="111"/>
      <c r="P188" s="111"/>
    </row>
    <row r="189" spans="3:16" x14ac:dyDescent="0.3">
      <c r="C189" s="114"/>
      <c r="D189" s="233" t="s">
        <v>745</v>
      </c>
      <c r="E189" s="234" t="s">
        <v>0</v>
      </c>
      <c r="F189" s="235">
        <v>1</v>
      </c>
      <c r="G189" s="236">
        <f>0.25+0.25+0.25+0.1</f>
        <v>0.85</v>
      </c>
      <c r="H189" s="236"/>
      <c r="I189" s="236">
        <v>2.88</v>
      </c>
      <c r="J189" s="235">
        <v>1</v>
      </c>
      <c r="K189" s="237"/>
      <c r="L189" s="237">
        <f t="shared" ref="L189:L217" si="6">IF(F189="","",PRODUCT(F189:J189))</f>
        <v>2.448</v>
      </c>
      <c r="M189" s="111"/>
      <c r="N189" s="111"/>
      <c r="O189" s="111"/>
      <c r="P189" s="111"/>
    </row>
    <row r="190" spans="3:16" x14ac:dyDescent="0.3">
      <c r="C190" s="114"/>
      <c r="D190" s="233" t="s">
        <v>746</v>
      </c>
      <c r="E190" s="234" t="s">
        <v>0</v>
      </c>
      <c r="F190" s="235">
        <v>1</v>
      </c>
      <c r="G190" s="236">
        <f>0.15+0.25+0.25+0.25</f>
        <v>0.9</v>
      </c>
      <c r="H190" s="236"/>
      <c r="I190" s="236">
        <v>2.88</v>
      </c>
      <c r="J190" s="235">
        <v>1</v>
      </c>
      <c r="K190" s="237"/>
      <c r="L190" s="237">
        <f t="shared" si="6"/>
        <v>2.5920000000000001</v>
      </c>
      <c r="M190" s="111"/>
      <c r="N190" s="111"/>
      <c r="O190" s="111"/>
      <c r="P190" s="111"/>
    </row>
    <row r="191" spans="3:16" x14ac:dyDescent="0.3">
      <c r="C191" s="114"/>
      <c r="D191" s="233" t="s">
        <v>747</v>
      </c>
      <c r="E191" s="234" t="s">
        <v>0</v>
      </c>
      <c r="F191" s="235">
        <v>1</v>
      </c>
      <c r="G191" s="236">
        <v>1.2</v>
      </c>
      <c r="H191" s="236"/>
      <c r="I191" s="236">
        <v>2.88</v>
      </c>
      <c r="J191" s="235">
        <v>1</v>
      </c>
      <c r="K191" s="237"/>
      <c r="L191" s="237">
        <f t="shared" si="6"/>
        <v>3.456</v>
      </c>
      <c r="M191" s="111"/>
      <c r="N191" s="111"/>
      <c r="O191" s="111"/>
      <c r="P191" s="111"/>
    </row>
    <row r="192" spans="3:16" x14ac:dyDescent="0.3">
      <c r="C192" s="114"/>
      <c r="D192" s="233"/>
      <c r="E192" s="234" t="s">
        <v>0</v>
      </c>
      <c r="F192" s="235">
        <v>1</v>
      </c>
      <c r="G192" s="236">
        <v>1.3</v>
      </c>
      <c r="H192" s="236"/>
      <c r="I192" s="236">
        <v>2.88</v>
      </c>
      <c r="J192" s="235">
        <v>1</v>
      </c>
      <c r="K192" s="237"/>
      <c r="L192" s="237">
        <f t="shared" si="6"/>
        <v>3.7439999999999998</v>
      </c>
      <c r="M192" s="111"/>
      <c r="N192" s="111"/>
      <c r="O192" s="111"/>
      <c r="P192" s="111"/>
    </row>
    <row r="193" spans="3:16" x14ac:dyDescent="0.3">
      <c r="C193" s="114"/>
      <c r="D193" s="233" t="s">
        <v>748</v>
      </c>
      <c r="E193" s="234" t="s">
        <v>0</v>
      </c>
      <c r="F193" s="235">
        <v>1</v>
      </c>
      <c r="G193" s="236">
        <f>0.25+0.25+0.25+0.25</f>
        <v>1</v>
      </c>
      <c r="H193" s="236"/>
      <c r="I193" s="236">
        <v>2.88</v>
      </c>
      <c r="J193" s="235">
        <v>1</v>
      </c>
      <c r="K193" s="237"/>
      <c r="L193" s="237">
        <f t="shared" si="6"/>
        <v>2.88</v>
      </c>
      <c r="M193" s="111"/>
      <c r="N193" s="111"/>
      <c r="O193" s="111"/>
      <c r="P193" s="111"/>
    </row>
    <row r="194" spans="3:16" x14ac:dyDescent="0.3">
      <c r="C194" s="114"/>
      <c r="D194" s="233" t="s">
        <v>749</v>
      </c>
      <c r="E194" s="234" t="s">
        <v>0</v>
      </c>
      <c r="F194" s="235">
        <v>1</v>
      </c>
      <c r="G194" s="236">
        <f>0.25+0.1+0.15+0.1</f>
        <v>0.6</v>
      </c>
      <c r="H194" s="236"/>
      <c r="I194" s="236">
        <v>2.88</v>
      </c>
      <c r="J194" s="235">
        <v>1</v>
      </c>
      <c r="K194" s="237"/>
      <c r="L194" s="237">
        <f t="shared" si="6"/>
        <v>1.728</v>
      </c>
      <c r="M194" s="111"/>
      <c r="N194" s="111"/>
      <c r="O194" s="111"/>
      <c r="P194" s="111"/>
    </row>
    <row r="195" spans="3:16" x14ac:dyDescent="0.3">
      <c r="C195" s="114"/>
      <c r="D195" s="233" t="s">
        <v>750</v>
      </c>
      <c r="E195" s="234" t="s">
        <v>0</v>
      </c>
      <c r="F195" s="235">
        <v>1</v>
      </c>
      <c r="G195" s="236">
        <f>1.2+1.2+0.25</f>
        <v>2.65</v>
      </c>
      <c r="H195" s="236"/>
      <c r="I195" s="236">
        <v>2.88</v>
      </c>
      <c r="J195" s="235">
        <v>1</v>
      </c>
      <c r="K195" s="237"/>
      <c r="L195" s="237">
        <f t="shared" si="6"/>
        <v>7.6319999999999997</v>
      </c>
      <c r="M195" s="111"/>
      <c r="N195" s="111"/>
      <c r="O195" s="111"/>
      <c r="P195" s="111"/>
    </row>
    <row r="196" spans="3:16" x14ac:dyDescent="0.3">
      <c r="C196" s="114"/>
      <c r="D196" s="233" t="s">
        <v>751</v>
      </c>
      <c r="E196" s="234" t="s">
        <v>0</v>
      </c>
      <c r="F196" s="235">
        <v>1</v>
      </c>
      <c r="G196" s="236">
        <f>0.15+0.25+0.3</f>
        <v>0.7</v>
      </c>
      <c r="H196" s="236"/>
      <c r="I196" s="236">
        <v>2.88</v>
      </c>
      <c r="J196" s="235">
        <v>1</v>
      </c>
      <c r="K196" s="237"/>
      <c r="L196" s="237">
        <f t="shared" si="6"/>
        <v>2.016</v>
      </c>
      <c r="M196" s="111"/>
      <c r="N196" s="111"/>
      <c r="O196" s="111"/>
      <c r="P196" s="111"/>
    </row>
    <row r="197" spans="3:16" x14ac:dyDescent="0.3">
      <c r="C197" s="114"/>
      <c r="D197" s="233" t="s">
        <v>752</v>
      </c>
      <c r="E197" s="234" t="s">
        <v>0</v>
      </c>
      <c r="F197" s="235">
        <v>1</v>
      </c>
      <c r="G197" s="236">
        <f>0.05+0.4+0.05+0.05+0.4+0.05</f>
        <v>1</v>
      </c>
      <c r="H197" s="236"/>
      <c r="I197" s="236">
        <v>2.88</v>
      </c>
      <c r="J197" s="235">
        <v>1</v>
      </c>
      <c r="K197" s="237"/>
      <c r="L197" s="237">
        <f>IF(F197="","",PRODUCT(F197:J197))</f>
        <v>2.88</v>
      </c>
      <c r="M197" s="111"/>
      <c r="N197" s="111"/>
      <c r="O197" s="111"/>
      <c r="P197" s="111"/>
    </row>
    <row r="198" spans="3:16" x14ac:dyDescent="0.3">
      <c r="C198" s="114"/>
      <c r="D198" s="233" t="s">
        <v>753</v>
      </c>
      <c r="E198" s="234" t="s">
        <v>0</v>
      </c>
      <c r="F198" s="235">
        <v>1</v>
      </c>
      <c r="G198" s="236">
        <f>0.15+0.05+0.05+0.3</f>
        <v>0.55000000000000004</v>
      </c>
      <c r="H198" s="236"/>
      <c r="I198" s="236">
        <v>2.88</v>
      </c>
      <c r="J198" s="235">
        <v>1</v>
      </c>
      <c r="K198" s="237"/>
      <c r="L198" s="237">
        <f t="shared" si="6"/>
        <v>1.5840000000000001</v>
      </c>
      <c r="M198" s="111"/>
      <c r="N198" s="111"/>
      <c r="O198" s="111"/>
      <c r="P198" s="111"/>
    </row>
    <row r="199" spans="3:16" x14ac:dyDescent="0.3">
      <c r="C199" s="114"/>
      <c r="D199" s="233" t="s">
        <v>754</v>
      </c>
      <c r="E199" s="234" t="s">
        <v>0</v>
      </c>
      <c r="F199" s="235">
        <v>1</v>
      </c>
      <c r="G199" s="236">
        <f>0.1+0.15</f>
        <v>0.25</v>
      </c>
      <c r="H199" s="236"/>
      <c r="I199" s="236">
        <v>2.88</v>
      </c>
      <c r="J199" s="235">
        <v>1</v>
      </c>
      <c r="K199" s="237"/>
      <c r="L199" s="237">
        <f>IF(F199="","",PRODUCT(F199:J199))</f>
        <v>0.72</v>
      </c>
      <c r="M199" s="111"/>
      <c r="N199" s="111"/>
      <c r="O199" s="111"/>
      <c r="P199" s="111"/>
    </row>
    <row r="200" spans="3:16" x14ac:dyDescent="0.3">
      <c r="C200" s="114"/>
      <c r="D200" s="233" t="s">
        <v>755</v>
      </c>
      <c r="E200" s="234" t="s">
        <v>0</v>
      </c>
      <c r="F200" s="235">
        <v>1</v>
      </c>
      <c r="G200" s="236">
        <f>0.1+0.15</f>
        <v>0.25</v>
      </c>
      <c r="H200" s="236"/>
      <c r="I200" s="236">
        <v>2.88</v>
      </c>
      <c r="J200" s="235">
        <v>1</v>
      </c>
      <c r="K200" s="237"/>
      <c r="L200" s="237">
        <f>IF(F200="","",PRODUCT(F200:J200))</f>
        <v>0.72</v>
      </c>
      <c r="M200" s="111"/>
      <c r="N200" s="111"/>
      <c r="O200" s="111"/>
      <c r="P200" s="111"/>
    </row>
    <row r="201" spans="3:16" x14ac:dyDescent="0.3">
      <c r="C201" s="114"/>
      <c r="D201" s="233" t="s">
        <v>756</v>
      </c>
      <c r="E201" s="234" t="s">
        <v>0</v>
      </c>
      <c r="F201" s="235">
        <v>1</v>
      </c>
      <c r="G201" s="236">
        <f>1.2+0.25+1.2+1.2+0.1</f>
        <v>3.9499999999999997</v>
      </c>
      <c r="H201" s="236"/>
      <c r="I201" s="236">
        <v>2.88</v>
      </c>
      <c r="J201" s="235">
        <v>1</v>
      </c>
      <c r="K201" s="237"/>
      <c r="L201" s="237">
        <f t="shared" si="6"/>
        <v>11.375999999999999</v>
      </c>
      <c r="M201" s="111"/>
      <c r="N201" s="111"/>
      <c r="O201" s="111"/>
      <c r="P201" s="111"/>
    </row>
    <row r="202" spans="3:16" x14ac:dyDescent="0.3">
      <c r="C202" s="114"/>
      <c r="D202" s="233" t="s">
        <v>757</v>
      </c>
      <c r="E202" s="234" t="s">
        <v>0</v>
      </c>
      <c r="F202" s="235">
        <v>1</v>
      </c>
      <c r="G202" s="236">
        <f>0.4</f>
        <v>0.4</v>
      </c>
      <c r="H202" s="236"/>
      <c r="I202" s="236">
        <v>3.16</v>
      </c>
      <c r="J202" s="235">
        <v>1</v>
      </c>
      <c r="K202" s="237"/>
      <c r="L202" s="237">
        <f t="shared" si="6"/>
        <v>1.2640000000000002</v>
      </c>
      <c r="M202" s="111"/>
      <c r="N202" s="111"/>
      <c r="O202" s="111"/>
      <c r="P202" s="111"/>
    </row>
    <row r="203" spans="3:16" x14ac:dyDescent="0.3">
      <c r="C203" s="114"/>
      <c r="D203" s="233" t="s">
        <v>758</v>
      </c>
      <c r="E203" s="234" t="s">
        <v>0</v>
      </c>
      <c r="F203" s="235">
        <v>1</v>
      </c>
      <c r="G203" s="236">
        <f>0.25+0.4</f>
        <v>0.65</v>
      </c>
      <c r="H203" s="236"/>
      <c r="I203" s="236">
        <v>2.88</v>
      </c>
      <c r="J203" s="235">
        <v>1</v>
      </c>
      <c r="K203" s="237"/>
      <c r="L203" s="237">
        <f t="shared" si="6"/>
        <v>1.8719999999999999</v>
      </c>
      <c r="M203" s="111"/>
      <c r="N203" s="111"/>
      <c r="O203" s="111"/>
      <c r="P203" s="111"/>
    </row>
    <row r="204" spans="3:16" x14ac:dyDescent="0.3">
      <c r="C204" s="114"/>
      <c r="D204" s="233" t="s">
        <v>759</v>
      </c>
      <c r="E204" s="234" t="s">
        <v>0</v>
      </c>
      <c r="F204" s="235">
        <v>1</v>
      </c>
      <c r="G204" s="236">
        <f>0.4+0.4</f>
        <v>0.8</v>
      </c>
      <c r="H204" s="236"/>
      <c r="I204" s="236">
        <v>2.88</v>
      </c>
      <c r="J204" s="235">
        <v>1</v>
      </c>
      <c r="K204" s="237"/>
      <c r="L204" s="237">
        <f t="shared" si="6"/>
        <v>2.3039999999999998</v>
      </c>
      <c r="M204" s="111"/>
      <c r="N204" s="111"/>
      <c r="O204" s="111"/>
      <c r="P204" s="111"/>
    </row>
    <row r="205" spans="3:16" x14ac:dyDescent="0.3">
      <c r="C205" s="114"/>
      <c r="D205" s="233" t="s">
        <v>760</v>
      </c>
      <c r="E205" s="234" t="s">
        <v>0</v>
      </c>
      <c r="F205" s="235">
        <v>1</v>
      </c>
      <c r="G205" s="236">
        <f>0.4+0.25</f>
        <v>0.65</v>
      </c>
      <c r="H205" s="236"/>
      <c r="I205" s="236">
        <v>2.88</v>
      </c>
      <c r="J205" s="235">
        <v>1</v>
      </c>
      <c r="K205" s="237"/>
      <c r="L205" s="237">
        <f t="shared" si="6"/>
        <v>1.8719999999999999</v>
      </c>
      <c r="M205" s="111"/>
      <c r="N205" s="111"/>
      <c r="O205" s="111"/>
      <c r="P205" s="111"/>
    </row>
    <row r="206" spans="3:16" x14ac:dyDescent="0.3">
      <c r="C206" s="114"/>
      <c r="D206" s="233" t="s">
        <v>761</v>
      </c>
      <c r="E206" s="234" t="s">
        <v>0</v>
      </c>
      <c r="F206" s="235">
        <v>1</v>
      </c>
      <c r="G206" s="236">
        <f>0.15+0.25+0.15</f>
        <v>0.55000000000000004</v>
      </c>
      <c r="H206" s="236"/>
      <c r="I206" s="236">
        <v>2.88</v>
      </c>
      <c r="J206" s="235">
        <v>1</v>
      </c>
      <c r="K206" s="237"/>
      <c r="L206" s="237">
        <f t="shared" si="6"/>
        <v>1.5840000000000001</v>
      </c>
      <c r="M206" s="111"/>
      <c r="N206" s="111"/>
      <c r="O206" s="111"/>
      <c r="P206" s="111"/>
    </row>
    <row r="207" spans="3:16" x14ac:dyDescent="0.3">
      <c r="C207" s="114"/>
      <c r="D207" s="233" t="s">
        <v>762</v>
      </c>
      <c r="E207" s="234" t="s">
        <v>0</v>
      </c>
      <c r="F207" s="235">
        <v>1</v>
      </c>
      <c r="G207" s="236">
        <v>0.15</v>
      </c>
      <c r="H207" s="236"/>
      <c r="I207" s="236">
        <v>2.88</v>
      </c>
      <c r="J207" s="235">
        <v>1</v>
      </c>
      <c r="K207" s="237"/>
      <c r="L207" s="237">
        <f>IF(F207="","",PRODUCT(F207:J207))</f>
        <v>0.432</v>
      </c>
      <c r="M207" s="111"/>
      <c r="N207" s="111"/>
      <c r="O207" s="111"/>
      <c r="P207" s="111"/>
    </row>
    <row r="208" spans="3:16" x14ac:dyDescent="0.3">
      <c r="C208" s="114"/>
      <c r="D208" s="233" t="s">
        <v>763</v>
      </c>
      <c r="E208" s="234" t="s">
        <v>0</v>
      </c>
      <c r="F208" s="235">
        <v>1</v>
      </c>
      <c r="G208" s="236">
        <f>1.2+1.3</f>
        <v>2.5</v>
      </c>
      <c r="H208" s="236"/>
      <c r="I208" s="236">
        <v>2.88</v>
      </c>
      <c r="J208" s="235">
        <v>1</v>
      </c>
      <c r="K208" s="237"/>
      <c r="L208" s="237">
        <f>IF(F208="","",PRODUCT(F208:J208))</f>
        <v>7.1999999999999993</v>
      </c>
      <c r="M208" s="111"/>
      <c r="N208" s="111"/>
      <c r="O208" s="111"/>
      <c r="P208" s="111"/>
    </row>
    <row r="209" spans="3:16" x14ac:dyDescent="0.3">
      <c r="C209" s="114"/>
      <c r="D209" s="233" t="s">
        <v>764</v>
      </c>
      <c r="E209" s="234" t="s">
        <v>0</v>
      </c>
      <c r="F209" s="235">
        <v>1</v>
      </c>
      <c r="G209" s="236">
        <f>0.25+0.1+0.15</f>
        <v>0.5</v>
      </c>
      <c r="H209" s="236"/>
      <c r="I209" s="236">
        <v>2.88</v>
      </c>
      <c r="J209" s="235">
        <v>1</v>
      </c>
      <c r="K209" s="237"/>
      <c r="L209" s="237">
        <f t="shared" si="6"/>
        <v>1.44</v>
      </c>
      <c r="M209" s="111"/>
      <c r="N209" s="111"/>
      <c r="O209" s="111"/>
      <c r="P209" s="111"/>
    </row>
    <row r="210" spans="3:16" x14ac:dyDescent="0.3">
      <c r="C210" s="114"/>
      <c r="D210" s="233" t="s">
        <v>765</v>
      </c>
      <c r="E210" s="234" t="s">
        <v>0</v>
      </c>
      <c r="F210" s="235">
        <v>1</v>
      </c>
      <c r="G210" s="236">
        <f>0.05+0.25+0.15</f>
        <v>0.44999999999999996</v>
      </c>
      <c r="H210" s="236"/>
      <c r="I210" s="236">
        <v>2.88</v>
      </c>
      <c r="J210" s="235">
        <v>1</v>
      </c>
      <c r="K210" s="237"/>
      <c r="L210" s="237">
        <f t="shared" si="6"/>
        <v>1.2959999999999998</v>
      </c>
      <c r="M210" s="111"/>
      <c r="N210" s="111"/>
      <c r="O210" s="111"/>
      <c r="P210" s="111"/>
    </row>
    <row r="211" spans="3:16" x14ac:dyDescent="0.3">
      <c r="C211" s="114"/>
      <c r="D211" s="233" t="s">
        <v>766</v>
      </c>
      <c r="E211" s="234" t="s">
        <v>0</v>
      </c>
      <c r="F211" s="235">
        <v>1</v>
      </c>
      <c r="G211" s="236">
        <v>1.3</v>
      </c>
      <c r="H211" s="236"/>
      <c r="I211" s="236">
        <v>2.88</v>
      </c>
      <c r="J211" s="235">
        <v>1</v>
      </c>
      <c r="K211" s="237"/>
      <c r="L211" s="237">
        <f t="shared" si="6"/>
        <v>3.7439999999999998</v>
      </c>
      <c r="M211" s="111"/>
      <c r="N211" s="111"/>
      <c r="O211" s="111"/>
      <c r="P211" s="111"/>
    </row>
    <row r="212" spans="3:16" x14ac:dyDescent="0.3">
      <c r="C212" s="114"/>
      <c r="D212" s="233" t="s">
        <v>767</v>
      </c>
      <c r="E212" s="234" t="s">
        <v>0</v>
      </c>
      <c r="F212" s="235">
        <v>1</v>
      </c>
      <c r="G212" s="236">
        <f>0.15+0.25+0.15</f>
        <v>0.55000000000000004</v>
      </c>
      <c r="H212" s="236"/>
      <c r="I212" s="236">
        <v>2.88</v>
      </c>
      <c r="J212" s="235">
        <v>1</v>
      </c>
      <c r="K212" s="237"/>
      <c r="L212" s="237">
        <f t="shared" si="6"/>
        <v>1.5840000000000001</v>
      </c>
      <c r="M212" s="111"/>
      <c r="N212" s="111"/>
      <c r="O212" s="111"/>
      <c r="P212" s="111"/>
    </row>
    <row r="213" spans="3:16" x14ac:dyDescent="0.3">
      <c r="C213" s="114"/>
      <c r="D213" s="233" t="s">
        <v>768</v>
      </c>
      <c r="E213" s="234" t="s">
        <v>0</v>
      </c>
      <c r="F213" s="235">
        <v>1</v>
      </c>
      <c r="G213" s="236">
        <f>0.15+0.1+0.05</f>
        <v>0.3</v>
      </c>
      <c r="H213" s="236"/>
      <c r="I213" s="236">
        <v>2.88</v>
      </c>
      <c r="J213" s="235">
        <v>1</v>
      </c>
      <c r="K213" s="237"/>
      <c r="L213" s="237">
        <f>IF(F213="","",PRODUCT(F213:J213))</f>
        <v>0.86399999999999999</v>
      </c>
      <c r="M213" s="111"/>
      <c r="N213" s="111"/>
      <c r="O213" s="111"/>
      <c r="P213" s="111"/>
    </row>
    <row r="214" spans="3:16" x14ac:dyDescent="0.3">
      <c r="C214" s="114"/>
      <c r="D214" s="233" t="s">
        <v>769</v>
      </c>
      <c r="E214" s="234" t="s">
        <v>0</v>
      </c>
      <c r="F214" s="235">
        <v>1</v>
      </c>
      <c r="G214" s="236">
        <v>1.3</v>
      </c>
      <c r="H214" s="236"/>
      <c r="I214" s="236">
        <v>2.88</v>
      </c>
      <c r="J214" s="235">
        <v>1</v>
      </c>
      <c r="K214" s="237"/>
      <c r="L214" s="237">
        <f t="shared" si="6"/>
        <v>3.7439999999999998</v>
      </c>
      <c r="M214" s="111"/>
      <c r="N214" s="111"/>
      <c r="O214" s="111"/>
      <c r="P214" s="111"/>
    </row>
    <row r="215" spans="3:16" x14ac:dyDescent="0.3">
      <c r="C215" s="114"/>
      <c r="D215" s="233" t="s">
        <v>770</v>
      </c>
      <c r="E215" s="234" t="s">
        <v>0</v>
      </c>
      <c r="F215" s="235">
        <v>1</v>
      </c>
      <c r="G215" s="236">
        <f>0.25+0.15+0.15</f>
        <v>0.55000000000000004</v>
      </c>
      <c r="H215" s="236"/>
      <c r="I215" s="236">
        <v>2.88</v>
      </c>
      <c r="J215" s="235">
        <v>1</v>
      </c>
      <c r="K215" s="237"/>
      <c r="L215" s="237">
        <f t="shared" si="6"/>
        <v>1.5840000000000001</v>
      </c>
      <c r="M215" s="111"/>
      <c r="N215" s="111"/>
      <c r="O215" s="111"/>
      <c r="P215" s="111"/>
    </row>
    <row r="216" spans="3:16" x14ac:dyDescent="0.3">
      <c r="C216" s="114"/>
      <c r="D216" s="233" t="s">
        <v>771</v>
      </c>
      <c r="E216" s="234" t="s">
        <v>0</v>
      </c>
      <c r="F216" s="235">
        <v>1</v>
      </c>
      <c r="G216" s="236">
        <f>0.15</f>
        <v>0.15</v>
      </c>
      <c r="H216" s="236"/>
      <c r="I216" s="236">
        <v>3.88</v>
      </c>
      <c r="J216" s="235">
        <v>1</v>
      </c>
      <c r="K216" s="237"/>
      <c r="L216" s="237">
        <f t="shared" si="6"/>
        <v>0.58199999999999996</v>
      </c>
      <c r="M216" s="111"/>
      <c r="N216" s="111"/>
      <c r="O216" s="111"/>
      <c r="P216" s="111"/>
    </row>
    <row r="217" spans="3:16" x14ac:dyDescent="0.3">
      <c r="C217" s="114"/>
      <c r="D217" s="233" t="s">
        <v>772</v>
      </c>
      <c r="E217" s="234" t="s">
        <v>0</v>
      </c>
      <c r="F217" s="235">
        <v>1</v>
      </c>
      <c r="G217" s="236">
        <f>1.3+1.2</f>
        <v>2.5</v>
      </c>
      <c r="H217" s="236"/>
      <c r="I217" s="236">
        <v>2.88</v>
      </c>
      <c r="J217" s="235">
        <v>1</v>
      </c>
      <c r="K217" s="237"/>
      <c r="L217" s="237">
        <f t="shared" si="6"/>
        <v>7.1999999999999993</v>
      </c>
      <c r="M217" s="111"/>
      <c r="N217" s="111"/>
      <c r="O217" s="111"/>
      <c r="P217" s="111"/>
    </row>
    <row r="218" spans="3:16" x14ac:dyDescent="0.3">
      <c r="C218" s="114"/>
      <c r="D218" s="115" t="s">
        <v>68</v>
      </c>
      <c r="E218" s="121"/>
      <c r="F218" s="3"/>
      <c r="G218" s="122" t="s">
        <v>198</v>
      </c>
      <c r="H218" s="110"/>
      <c r="I218" s="110"/>
      <c r="J218" s="109"/>
      <c r="K218" s="111"/>
      <c r="L218" s="111"/>
      <c r="M218" s="111"/>
      <c r="N218" s="111"/>
      <c r="O218" s="111"/>
      <c r="P218" s="111"/>
    </row>
    <row r="219" spans="3:16" x14ac:dyDescent="0.3">
      <c r="C219" s="114"/>
      <c r="D219" s="233" t="s">
        <v>743</v>
      </c>
      <c r="E219" s="234" t="s">
        <v>0</v>
      </c>
      <c r="F219" s="235">
        <v>1</v>
      </c>
      <c r="G219" s="236">
        <f>0.25+0.15</f>
        <v>0.4</v>
      </c>
      <c r="H219" s="236"/>
      <c r="I219" s="236">
        <v>2.88</v>
      </c>
      <c r="J219" s="235">
        <v>1</v>
      </c>
      <c r="K219" s="237"/>
      <c r="L219" s="237">
        <f>IF(F219="","",PRODUCT(F219:J219))</f>
        <v>1.1519999999999999</v>
      </c>
      <c r="M219" s="111"/>
      <c r="N219" s="111"/>
      <c r="O219" s="111"/>
      <c r="P219" s="111"/>
    </row>
    <row r="220" spans="3:16" x14ac:dyDescent="0.3">
      <c r="C220" s="114"/>
      <c r="D220" s="233" t="s">
        <v>744</v>
      </c>
      <c r="E220" s="234" t="s">
        <v>0</v>
      </c>
      <c r="F220" s="235">
        <v>1</v>
      </c>
      <c r="G220" s="236">
        <f>1.2+1.3+1.2</f>
        <v>3.7</v>
      </c>
      <c r="H220" s="236"/>
      <c r="I220" s="236">
        <v>2.88</v>
      </c>
      <c r="J220" s="235">
        <v>1</v>
      </c>
      <c r="K220" s="237"/>
      <c r="L220" s="237">
        <f>IF(F220="","",PRODUCT(F220:J220))</f>
        <v>10.656000000000001</v>
      </c>
      <c r="M220" s="111"/>
      <c r="N220" s="111"/>
      <c r="O220" s="111"/>
      <c r="P220" s="111"/>
    </row>
    <row r="221" spans="3:16" x14ac:dyDescent="0.3">
      <c r="C221" s="114"/>
      <c r="D221" s="233" t="s">
        <v>745</v>
      </c>
      <c r="E221" s="234" t="s">
        <v>0</v>
      </c>
      <c r="F221" s="235">
        <v>1</v>
      </c>
      <c r="G221" s="236">
        <f>0.25+0.25+0.25+0.1</f>
        <v>0.85</v>
      </c>
      <c r="H221" s="236"/>
      <c r="I221" s="236">
        <v>2.88</v>
      </c>
      <c r="J221" s="235">
        <v>1</v>
      </c>
      <c r="K221" s="237"/>
      <c r="L221" s="237">
        <f t="shared" ref="L221:L228" si="7">IF(F221="","",PRODUCT(F221:J221))</f>
        <v>2.448</v>
      </c>
      <c r="M221" s="111"/>
      <c r="N221" s="111"/>
      <c r="O221" s="111"/>
      <c r="P221" s="111"/>
    </row>
    <row r="222" spans="3:16" x14ac:dyDescent="0.3">
      <c r="C222" s="114"/>
      <c r="D222" s="233" t="s">
        <v>746</v>
      </c>
      <c r="E222" s="234" t="s">
        <v>0</v>
      </c>
      <c r="F222" s="235">
        <v>1</v>
      </c>
      <c r="G222" s="236">
        <f>0.15+0.25+0.25+0.25</f>
        <v>0.9</v>
      </c>
      <c r="H222" s="236"/>
      <c r="I222" s="236">
        <v>2.88</v>
      </c>
      <c r="J222" s="235">
        <v>1</v>
      </c>
      <c r="K222" s="237"/>
      <c r="L222" s="237">
        <f t="shared" si="7"/>
        <v>2.5920000000000001</v>
      </c>
      <c r="M222" s="111"/>
      <c r="N222" s="111"/>
      <c r="O222" s="111"/>
      <c r="P222" s="111"/>
    </row>
    <row r="223" spans="3:16" x14ac:dyDescent="0.3">
      <c r="C223" s="114"/>
      <c r="D223" s="233" t="s">
        <v>747</v>
      </c>
      <c r="E223" s="234" t="s">
        <v>0</v>
      </c>
      <c r="F223" s="235">
        <v>1</v>
      </c>
      <c r="G223" s="236">
        <v>1.2</v>
      </c>
      <c r="H223" s="236"/>
      <c r="I223" s="236">
        <v>2.88</v>
      </c>
      <c r="J223" s="235">
        <v>1</v>
      </c>
      <c r="K223" s="237"/>
      <c r="L223" s="237">
        <f t="shared" si="7"/>
        <v>3.456</v>
      </c>
      <c r="M223" s="111"/>
      <c r="N223" s="111"/>
      <c r="O223" s="111"/>
      <c r="P223" s="111"/>
    </row>
    <row r="224" spans="3:16" x14ac:dyDescent="0.3">
      <c r="C224" s="114"/>
      <c r="D224" s="233"/>
      <c r="E224" s="234" t="s">
        <v>0</v>
      </c>
      <c r="F224" s="235">
        <v>1</v>
      </c>
      <c r="G224" s="236">
        <v>1.3</v>
      </c>
      <c r="H224" s="236"/>
      <c r="I224" s="236">
        <v>2.88</v>
      </c>
      <c r="J224" s="235">
        <v>1</v>
      </c>
      <c r="K224" s="237"/>
      <c r="L224" s="237">
        <f t="shared" si="7"/>
        <v>3.7439999999999998</v>
      </c>
      <c r="M224" s="111"/>
      <c r="N224" s="111"/>
      <c r="O224" s="111"/>
      <c r="P224" s="111"/>
    </row>
    <row r="225" spans="3:16" x14ac:dyDescent="0.3">
      <c r="C225" s="114"/>
      <c r="D225" s="233" t="s">
        <v>748</v>
      </c>
      <c r="E225" s="234" t="s">
        <v>0</v>
      </c>
      <c r="F225" s="235">
        <v>1</v>
      </c>
      <c r="G225" s="236">
        <f>0.25+0.25+0.25+0.25</f>
        <v>1</v>
      </c>
      <c r="H225" s="236"/>
      <c r="I225" s="236">
        <v>2.88</v>
      </c>
      <c r="J225" s="235">
        <v>1</v>
      </c>
      <c r="K225" s="237"/>
      <c r="L225" s="237">
        <f t="shared" si="7"/>
        <v>2.88</v>
      </c>
      <c r="M225" s="111"/>
      <c r="N225" s="111"/>
      <c r="O225" s="111"/>
      <c r="P225" s="111"/>
    </row>
    <row r="226" spans="3:16" x14ac:dyDescent="0.3">
      <c r="C226" s="114"/>
      <c r="D226" s="233" t="s">
        <v>749</v>
      </c>
      <c r="E226" s="234" t="s">
        <v>0</v>
      </c>
      <c r="F226" s="235">
        <v>1</v>
      </c>
      <c r="G226" s="236">
        <f>0.25+0.1+0.15+0.1</f>
        <v>0.6</v>
      </c>
      <c r="H226" s="236"/>
      <c r="I226" s="236">
        <v>2.88</v>
      </c>
      <c r="J226" s="235">
        <v>1</v>
      </c>
      <c r="K226" s="237"/>
      <c r="L226" s="237">
        <f t="shared" si="7"/>
        <v>1.728</v>
      </c>
      <c r="M226" s="111"/>
      <c r="N226" s="111"/>
      <c r="O226" s="111"/>
      <c r="P226" s="111"/>
    </row>
    <row r="227" spans="3:16" x14ac:dyDescent="0.3">
      <c r="C227" s="114"/>
      <c r="D227" s="233" t="s">
        <v>750</v>
      </c>
      <c r="E227" s="234" t="s">
        <v>0</v>
      </c>
      <c r="F227" s="235">
        <v>1</v>
      </c>
      <c r="G227" s="236">
        <f>1.2+1.2+0.25</f>
        <v>2.65</v>
      </c>
      <c r="H227" s="236"/>
      <c r="I227" s="236">
        <v>2.88</v>
      </c>
      <c r="J227" s="235">
        <v>1</v>
      </c>
      <c r="K227" s="237"/>
      <c r="L227" s="237">
        <f t="shared" si="7"/>
        <v>7.6319999999999997</v>
      </c>
      <c r="M227" s="111"/>
      <c r="N227" s="111"/>
      <c r="O227" s="111"/>
      <c r="P227" s="111"/>
    </row>
    <row r="228" spans="3:16" x14ac:dyDescent="0.3">
      <c r="C228" s="114"/>
      <c r="D228" s="233" t="s">
        <v>751</v>
      </c>
      <c r="E228" s="234" t="s">
        <v>0</v>
      </c>
      <c r="F228" s="235">
        <v>1</v>
      </c>
      <c r="G228" s="236">
        <f>0.15+0.25+0.3</f>
        <v>0.7</v>
      </c>
      <c r="H228" s="236"/>
      <c r="I228" s="236">
        <v>2.88</v>
      </c>
      <c r="J228" s="235">
        <v>1</v>
      </c>
      <c r="K228" s="237"/>
      <c r="L228" s="237">
        <f t="shared" si="7"/>
        <v>2.016</v>
      </c>
      <c r="M228" s="111"/>
      <c r="N228" s="111"/>
      <c r="O228" s="111"/>
      <c r="P228" s="111"/>
    </row>
    <row r="229" spans="3:16" x14ac:dyDescent="0.3">
      <c r="C229" s="114"/>
      <c r="D229" s="233" t="s">
        <v>752</v>
      </c>
      <c r="E229" s="234" t="s">
        <v>0</v>
      </c>
      <c r="F229" s="235">
        <v>1</v>
      </c>
      <c r="G229" s="236">
        <f>0.05+0.4+0.05+0.05+0.4+0.05</f>
        <v>1</v>
      </c>
      <c r="H229" s="236"/>
      <c r="I229" s="236">
        <v>2.88</v>
      </c>
      <c r="J229" s="235">
        <v>1</v>
      </c>
      <c r="K229" s="237"/>
      <c r="L229" s="237">
        <f>IF(F229="","",PRODUCT(F229:J229))</f>
        <v>2.88</v>
      </c>
      <c r="M229" s="111"/>
      <c r="N229" s="111"/>
      <c r="O229" s="111"/>
      <c r="P229" s="111"/>
    </row>
    <row r="230" spans="3:16" x14ac:dyDescent="0.3">
      <c r="C230" s="114"/>
      <c r="D230" s="233" t="s">
        <v>753</v>
      </c>
      <c r="E230" s="234" t="s">
        <v>0</v>
      </c>
      <c r="F230" s="235">
        <v>1</v>
      </c>
      <c r="G230" s="236">
        <f>0.15+0.05+0.05+0.3</f>
        <v>0.55000000000000004</v>
      </c>
      <c r="H230" s="236"/>
      <c r="I230" s="236">
        <v>2.88</v>
      </c>
      <c r="J230" s="235">
        <v>1</v>
      </c>
      <c r="K230" s="237"/>
      <c r="L230" s="237">
        <f t="shared" ref="L230" si="8">IF(F230="","",PRODUCT(F230:J230))</f>
        <v>1.5840000000000001</v>
      </c>
      <c r="M230" s="111"/>
      <c r="N230" s="111"/>
      <c r="O230" s="111"/>
      <c r="P230" s="111"/>
    </row>
    <row r="231" spans="3:16" x14ac:dyDescent="0.3">
      <c r="C231" s="114"/>
      <c r="D231" s="233" t="s">
        <v>754</v>
      </c>
      <c r="E231" s="234" t="s">
        <v>0</v>
      </c>
      <c r="F231" s="235">
        <v>1</v>
      </c>
      <c r="G231" s="236">
        <f>0.1+0.15</f>
        <v>0.25</v>
      </c>
      <c r="H231" s="236"/>
      <c r="I231" s="236">
        <v>2.88</v>
      </c>
      <c r="J231" s="235">
        <v>1</v>
      </c>
      <c r="K231" s="237"/>
      <c r="L231" s="237">
        <f>IF(F231="","",PRODUCT(F231:J231))</f>
        <v>0.72</v>
      </c>
      <c r="M231" s="111"/>
      <c r="N231" s="111"/>
      <c r="O231" s="111"/>
      <c r="P231" s="111"/>
    </row>
    <row r="232" spans="3:16" x14ac:dyDescent="0.3">
      <c r="C232" s="114"/>
      <c r="D232" s="233" t="s">
        <v>755</v>
      </c>
      <c r="E232" s="234" t="s">
        <v>0</v>
      </c>
      <c r="F232" s="235">
        <v>1</v>
      </c>
      <c r="G232" s="236">
        <f>0.1+0.15</f>
        <v>0.25</v>
      </c>
      <c r="H232" s="236"/>
      <c r="I232" s="236">
        <v>2.88</v>
      </c>
      <c r="J232" s="235">
        <v>1</v>
      </c>
      <c r="K232" s="237"/>
      <c r="L232" s="237">
        <f>IF(F232="","",PRODUCT(F232:J232))</f>
        <v>0.72</v>
      </c>
      <c r="M232" s="111"/>
      <c r="N232" s="111"/>
      <c r="O232" s="111"/>
      <c r="P232" s="111"/>
    </row>
    <row r="233" spans="3:16" x14ac:dyDescent="0.3">
      <c r="C233" s="114"/>
      <c r="D233" s="233" t="s">
        <v>756</v>
      </c>
      <c r="E233" s="234" t="s">
        <v>0</v>
      </c>
      <c r="F233" s="235">
        <v>1</v>
      </c>
      <c r="G233" s="236">
        <f>1.2+0.25+1.2+1.2+0.1</f>
        <v>3.9499999999999997</v>
      </c>
      <c r="H233" s="236"/>
      <c r="I233" s="236">
        <v>2.88</v>
      </c>
      <c r="J233" s="235">
        <v>1</v>
      </c>
      <c r="K233" s="237"/>
      <c r="L233" s="237">
        <f t="shared" ref="L233:L238" si="9">IF(F233="","",PRODUCT(F233:J233))</f>
        <v>11.375999999999999</v>
      </c>
      <c r="M233" s="111"/>
      <c r="N233" s="111"/>
      <c r="O233" s="111"/>
      <c r="P233" s="111"/>
    </row>
    <row r="234" spans="3:16" x14ac:dyDescent="0.3">
      <c r="C234" s="114"/>
      <c r="D234" s="233" t="s">
        <v>757</v>
      </c>
      <c r="E234" s="234" t="s">
        <v>0</v>
      </c>
      <c r="F234" s="235">
        <v>1</v>
      </c>
      <c r="G234" s="236">
        <f>0.4</f>
        <v>0.4</v>
      </c>
      <c r="H234" s="236"/>
      <c r="I234" s="236">
        <v>3.16</v>
      </c>
      <c r="J234" s="235">
        <v>1</v>
      </c>
      <c r="K234" s="237"/>
      <c r="L234" s="237">
        <f t="shared" si="9"/>
        <v>1.2640000000000002</v>
      </c>
      <c r="M234" s="111"/>
      <c r="N234" s="111"/>
      <c r="O234" s="111"/>
      <c r="P234" s="111"/>
    </row>
    <row r="235" spans="3:16" x14ac:dyDescent="0.3">
      <c r="C235" s="114"/>
      <c r="D235" s="233" t="s">
        <v>758</v>
      </c>
      <c r="E235" s="234" t="s">
        <v>0</v>
      </c>
      <c r="F235" s="235">
        <v>1</v>
      </c>
      <c r="G235" s="236">
        <f>0.25+0.4</f>
        <v>0.65</v>
      </c>
      <c r="H235" s="236"/>
      <c r="I235" s="236">
        <v>2.88</v>
      </c>
      <c r="J235" s="235">
        <v>1</v>
      </c>
      <c r="K235" s="237"/>
      <c r="L235" s="237">
        <f t="shared" si="9"/>
        <v>1.8719999999999999</v>
      </c>
      <c r="M235" s="111"/>
      <c r="N235" s="111"/>
      <c r="O235" s="111"/>
      <c r="P235" s="111"/>
    </row>
    <row r="236" spans="3:16" x14ac:dyDescent="0.3">
      <c r="C236" s="114"/>
      <c r="D236" s="233" t="s">
        <v>759</v>
      </c>
      <c r="E236" s="234" t="s">
        <v>0</v>
      </c>
      <c r="F236" s="235">
        <v>1</v>
      </c>
      <c r="G236" s="236">
        <f>0.4+0.4</f>
        <v>0.8</v>
      </c>
      <c r="H236" s="236"/>
      <c r="I236" s="236">
        <v>2.88</v>
      </c>
      <c r="J236" s="235">
        <v>1</v>
      </c>
      <c r="K236" s="237"/>
      <c r="L236" s="237">
        <f t="shared" si="9"/>
        <v>2.3039999999999998</v>
      </c>
      <c r="M236" s="111"/>
      <c r="N236" s="111"/>
      <c r="O236" s="111"/>
      <c r="P236" s="111"/>
    </row>
    <row r="237" spans="3:16" x14ac:dyDescent="0.3">
      <c r="C237" s="114"/>
      <c r="D237" s="233" t="s">
        <v>760</v>
      </c>
      <c r="E237" s="234" t="s">
        <v>0</v>
      </c>
      <c r="F237" s="235">
        <v>1</v>
      </c>
      <c r="G237" s="236">
        <f>0.4+0.25</f>
        <v>0.65</v>
      </c>
      <c r="H237" s="236"/>
      <c r="I237" s="236">
        <v>2.88</v>
      </c>
      <c r="J237" s="235">
        <v>1</v>
      </c>
      <c r="K237" s="237"/>
      <c r="L237" s="237">
        <f t="shared" si="9"/>
        <v>1.8719999999999999</v>
      </c>
      <c r="M237" s="111"/>
      <c r="N237" s="111"/>
      <c r="O237" s="111"/>
      <c r="P237" s="111"/>
    </row>
    <row r="238" spans="3:16" x14ac:dyDescent="0.3">
      <c r="C238" s="114"/>
      <c r="D238" s="233" t="s">
        <v>761</v>
      </c>
      <c r="E238" s="234" t="s">
        <v>0</v>
      </c>
      <c r="F238" s="235">
        <v>1</v>
      </c>
      <c r="G238" s="236">
        <f>0.15+0.25+0.15</f>
        <v>0.55000000000000004</v>
      </c>
      <c r="H238" s="236"/>
      <c r="I238" s="236">
        <v>2.88</v>
      </c>
      <c r="J238" s="235">
        <v>1</v>
      </c>
      <c r="K238" s="237"/>
      <c r="L238" s="237">
        <f t="shared" si="9"/>
        <v>1.5840000000000001</v>
      </c>
      <c r="M238" s="111"/>
      <c r="N238" s="111"/>
      <c r="O238" s="111"/>
      <c r="P238" s="111"/>
    </row>
    <row r="239" spans="3:16" x14ac:dyDescent="0.3">
      <c r="C239" s="114"/>
      <c r="D239" s="233" t="s">
        <v>762</v>
      </c>
      <c r="E239" s="234" t="s">
        <v>0</v>
      </c>
      <c r="F239" s="235">
        <v>1</v>
      </c>
      <c r="G239" s="236">
        <v>0.15</v>
      </c>
      <c r="H239" s="236"/>
      <c r="I239" s="236">
        <v>2.88</v>
      </c>
      <c r="J239" s="235">
        <v>1</v>
      </c>
      <c r="K239" s="237"/>
      <c r="L239" s="237">
        <f>IF(F239="","",PRODUCT(F239:J239))</f>
        <v>0.432</v>
      </c>
      <c r="M239" s="111"/>
      <c r="N239" s="111"/>
      <c r="O239" s="111"/>
      <c r="P239" s="111"/>
    </row>
    <row r="240" spans="3:16" x14ac:dyDescent="0.3">
      <c r="C240" s="114"/>
      <c r="D240" s="233" t="s">
        <v>763</v>
      </c>
      <c r="E240" s="234" t="s">
        <v>0</v>
      </c>
      <c r="F240" s="235">
        <v>1</v>
      </c>
      <c r="G240" s="236">
        <f>1.2+1.3</f>
        <v>2.5</v>
      </c>
      <c r="H240" s="236"/>
      <c r="I240" s="236">
        <v>2.88</v>
      </c>
      <c r="J240" s="235">
        <v>1</v>
      </c>
      <c r="K240" s="237"/>
      <c r="L240" s="237">
        <f>IF(F240="","",PRODUCT(F240:J240))</f>
        <v>7.1999999999999993</v>
      </c>
      <c r="M240" s="111"/>
      <c r="N240" s="111"/>
      <c r="O240" s="111"/>
      <c r="P240" s="111"/>
    </row>
    <row r="241" spans="3:16" x14ac:dyDescent="0.3">
      <c r="C241" s="114"/>
      <c r="D241" s="233" t="s">
        <v>764</v>
      </c>
      <c r="E241" s="234" t="s">
        <v>0</v>
      </c>
      <c r="F241" s="235">
        <v>1</v>
      </c>
      <c r="G241" s="236">
        <f>0.25+0.1+0.15</f>
        <v>0.5</v>
      </c>
      <c r="H241" s="236"/>
      <c r="I241" s="236">
        <v>2.88</v>
      </c>
      <c r="J241" s="235">
        <v>1</v>
      </c>
      <c r="K241" s="237"/>
      <c r="L241" s="237">
        <f t="shared" ref="L241:L244" si="10">IF(F241="","",PRODUCT(F241:J241))</f>
        <v>1.44</v>
      </c>
      <c r="M241" s="111"/>
      <c r="N241" s="111"/>
      <c r="O241" s="111"/>
      <c r="P241" s="111"/>
    </row>
    <row r="242" spans="3:16" x14ac:dyDescent="0.3">
      <c r="C242" s="114"/>
      <c r="D242" s="233" t="s">
        <v>765</v>
      </c>
      <c r="E242" s="234" t="s">
        <v>0</v>
      </c>
      <c r="F242" s="235">
        <v>1</v>
      </c>
      <c r="G242" s="236">
        <f>0.05+0.25+0.15</f>
        <v>0.44999999999999996</v>
      </c>
      <c r="H242" s="236"/>
      <c r="I242" s="236">
        <v>2.88</v>
      </c>
      <c r="J242" s="235">
        <v>1</v>
      </c>
      <c r="K242" s="237"/>
      <c r="L242" s="237">
        <f t="shared" si="10"/>
        <v>1.2959999999999998</v>
      </c>
      <c r="M242" s="111"/>
      <c r="N242" s="111"/>
      <c r="O242" s="111"/>
      <c r="P242" s="111"/>
    </row>
    <row r="243" spans="3:16" x14ac:dyDescent="0.3">
      <c r="C243" s="114"/>
      <c r="D243" s="233" t="s">
        <v>766</v>
      </c>
      <c r="E243" s="234" t="s">
        <v>0</v>
      </c>
      <c r="F243" s="235">
        <v>1</v>
      </c>
      <c r="G243" s="236">
        <v>1.3</v>
      </c>
      <c r="H243" s="236"/>
      <c r="I243" s="236">
        <v>2.88</v>
      </c>
      <c r="J243" s="235">
        <v>1</v>
      </c>
      <c r="K243" s="237"/>
      <c r="L243" s="237">
        <f t="shared" si="10"/>
        <v>3.7439999999999998</v>
      </c>
      <c r="M243" s="111"/>
      <c r="N243" s="111"/>
      <c r="O243" s="111"/>
      <c r="P243" s="111"/>
    </row>
    <row r="244" spans="3:16" x14ac:dyDescent="0.3">
      <c r="C244" s="114"/>
      <c r="D244" s="233" t="s">
        <v>767</v>
      </c>
      <c r="E244" s="234" t="s">
        <v>0</v>
      </c>
      <c r="F244" s="235">
        <v>1</v>
      </c>
      <c r="G244" s="236">
        <f>0.15+0.25+0.15</f>
        <v>0.55000000000000004</v>
      </c>
      <c r="H244" s="236"/>
      <c r="I244" s="236">
        <v>2.88</v>
      </c>
      <c r="J244" s="235">
        <v>1</v>
      </c>
      <c r="K244" s="237"/>
      <c r="L244" s="237">
        <f t="shared" si="10"/>
        <v>1.5840000000000001</v>
      </c>
      <c r="M244" s="111"/>
      <c r="N244" s="111"/>
      <c r="O244" s="111"/>
      <c r="P244" s="111"/>
    </row>
    <row r="245" spans="3:16" x14ac:dyDescent="0.3">
      <c r="C245" s="114"/>
      <c r="D245" s="233" t="s">
        <v>768</v>
      </c>
      <c r="E245" s="234" t="s">
        <v>0</v>
      </c>
      <c r="F245" s="235">
        <v>1</v>
      </c>
      <c r="G245" s="236">
        <f>0.15+0.1+0.05</f>
        <v>0.3</v>
      </c>
      <c r="H245" s="236"/>
      <c r="I245" s="236">
        <v>2.88</v>
      </c>
      <c r="J245" s="235">
        <v>1</v>
      </c>
      <c r="K245" s="237"/>
      <c r="L245" s="237">
        <f>IF(F245="","",PRODUCT(F245:J245))</f>
        <v>0.86399999999999999</v>
      </c>
      <c r="M245" s="111"/>
      <c r="N245" s="111"/>
      <c r="O245" s="111"/>
      <c r="P245" s="111"/>
    </row>
    <row r="246" spans="3:16" x14ac:dyDescent="0.3">
      <c r="C246" s="114"/>
      <c r="D246" s="233" t="s">
        <v>769</v>
      </c>
      <c r="E246" s="234" t="s">
        <v>0</v>
      </c>
      <c r="F246" s="235">
        <v>1</v>
      </c>
      <c r="G246" s="236">
        <v>1.3</v>
      </c>
      <c r="H246" s="236"/>
      <c r="I246" s="236">
        <v>2.88</v>
      </c>
      <c r="J246" s="235">
        <v>1</v>
      </c>
      <c r="K246" s="237"/>
      <c r="L246" s="237">
        <f t="shared" ref="L246:L249" si="11">IF(F246="","",PRODUCT(F246:J246))</f>
        <v>3.7439999999999998</v>
      </c>
      <c r="M246" s="111"/>
      <c r="N246" s="111"/>
      <c r="O246" s="111"/>
      <c r="P246" s="111"/>
    </row>
    <row r="247" spans="3:16" x14ac:dyDescent="0.3">
      <c r="C247" s="114"/>
      <c r="D247" s="233" t="s">
        <v>770</v>
      </c>
      <c r="E247" s="234" t="s">
        <v>0</v>
      </c>
      <c r="F247" s="235">
        <v>1</v>
      </c>
      <c r="G247" s="236">
        <f>0.25+0.15+0.15</f>
        <v>0.55000000000000004</v>
      </c>
      <c r="H247" s="236"/>
      <c r="I247" s="236">
        <v>2.88</v>
      </c>
      <c r="J247" s="235">
        <v>1</v>
      </c>
      <c r="K247" s="237"/>
      <c r="L247" s="237">
        <f t="shared" si="11"/>
        <v>1.5840000000000001</v>
      </c>
      <c r="M247" s="111"/>
      <c r="N247" s="111"/>
      <c r="O247" s="111"/>
      <c r="P247" s="111"/>
    </row>
    <row r="248" spans="3:16" x14ac:dyDescent="0.3">
      <c r="C248" s="114"/>
      <c r="D248" s="233" t="s">
        <v>771</v>
      </c>
      <c r="E248" s="234" t="s">
        <v>0</v>
      </c>
      <c r="F248" s="235">
        <v>1</v>
      </c>
      <c r="G248" s="236">
        <f>0.15</f>
        <v>0.15</v>
      </c>
      <c r="H248" s="236"/>
      <c r="I248" s="236">
        <v>3.88</v>
      </c>
      <c r="J248" s="235">
        <v>1</v>
      </c>
      <c r="K248" s="237"/>
      <c r="L248" s="237">
        <f t="shared" si="11"/>
        <v>0.58199999999999996</v>
      </c>
      <c r="M248" s="111"/>
      <c r="N248" s="111"/>
      <c r="O248" s="111"/>
      <c r="P248" s="111"/>
    </row>
    <row r="249" spans="3:16" x14ac:dyDescent="0.3">
      <c r="C249" s="114"/>
      <c r="D249" s="233" t="s">
        <v>772</v>
      </c>
      <c r="E249" s="234" t="s">
        <v>0</v>
      </c>
      <c r="F249" s="235">
        <v>1</v>
      </c>
      <c r="G249" s="236">
        <f>1.3+1.2</f>
        <v>2.5</v>
      </c>
      <c r="H249" s="236"/>
      <c r="I249" s="236">
        <v>2.88</v>
      </c>
      <c r="J249" s="235">
        <v>1</v>
      </c>
      <c r="K249" s="237"/>
      <c r="L249" s="237">
        <f t="shared" si="11"/>
        <v>7.1999999999999993</v>
      </c>
      <c r="M249" s="111"/>
      <c r="N249" s="111"/>
      <c r="O249" s="111"/>
      <c r="P249" s="111"/>
    </row>
    <row r="250" spans="3:16" x14ac:dyDescent="0.3">
      <c r="C250" s="114"/>
      <c r="D250" s="115" t="s">
        <v>773</v>
      </c>
      <c r="E250" s="121"/>
      <c r="F250" s="3"/>
      <c r="G250" s="122" t="s">
        <v>198</v>
      </c>
      <c r="H250" s="110"/>
      <c r="I250" s="110"/>
      <c r="J250" s="109"/>
      <c r="K250" s="111"/>
      <c r="L250" s="111"/>
      <c r="M250" s="111"/>
      <c r="N250" s="111"/>
      <c r="O250" s="111"/>
      <c r="P250" s="111"/>
    </row>
    <row r="251" spans="3:16" x14ac:dyDescent="0.3">
      <c r="C251" s="114"/>
      <c r="D251" s="233" t="s">
        <v>743</v>
      </c>
      <c r="E251" s="234" t="s">
        <v>0</v>
      </c>
      <c r="F251" s="235">
        <v>1</v>
      </c>
      <c r="G251" s="236">
        <f>0.25+0.15</f>
        <v>0.4</v>
      </c>
      <c r="H251" s="236"/>
      <c r="I251" s="236">
        <v>2.88</v>
      </c>
      <c r="J251" s="235">
        <v>1</v>
      </c>
      <c r="K251" s="237"/>
      <c r="L251" s="237">
        <f>IF(F251="","",PRODUCT(F251:J251))</f>
        <v>1.1519999999999999</v>
      </c>
      <c r="M251" s="111"/>
      <c r="N251" s="111"/>
      <c r="O251" s="111"/>
      <c r="P251" s="111"/>
    </row>
    <row r="252" spans="3:16" x14ac:dyDescent="0.3">
      <c r="C252" s="114"/>
      <c r="D252" s="233" t="s">
        <v>744</v>
      </c>
      <c r="E252" s="234" t="s">
        <v>0</v>
      </c>
      <c r="F252" s="235">
        <v>1</v>
      </c>
      <c r="G252" s="236">
        <f>1.2+1.3+1.2</f>
        <v>3.7</v>
      </c>
      <c r="H252" s="236"/>
      <c r="I252" s="236">
        <v>2.88</v>
      </c>
      <c r="J252" s="235">
        <v>1</v>
      </c>
      <c r="K252" s="237"/>
      <c r="L252" s="237">
        <f>IF(F252="","",PRODUCT(F252:J252))</f>
        <v>10.656000000000001</v>
      </c>
      <c r="M252" s="111"/>
      <c r="N252" s="111"/>
      <c r="O252" s="111"/>
      <c r="P252" s="111"/>
    </row>
    <row r="253" spans="3:16" x14ac:dyDescent="0.3">
      <c r="C253" s="114"/>
      <c r="D253" s="233" t="s">
        <v>745</v>
      </c>
      <c r="E253" s="234" t="s">
        <v>0</v>
      </c>
      <c r="F253" s="235">
        <v>1</v>
      </c>
      <c r="G253" s="236">
        <f>0.25+0.25+0.25+0.1</f>
        <v>0.85</v>
      </c>
      <c r="H253" s="236"/>
      <c r="I253" s="236">
        <v>2.88</v>
      </c>
      <c r="J253" s="235">
        <v>1</v>
      </c>
      <c r="K253" s="237"/>
      <c r="L253" s="237">
        <f t="shared" ref="L253:L260" si="12">IF(F253="","",PRODUCT(F253:J253))</f>
        <v>2.448</v>
      </c>
      <c r="M253" s="111"/>
      <c r="N253" s="111"/>
      <c r="O253" s="111"/>
      <c r="P253" s="111"/>
    </row>
    <row r="254" spans="3:16" x14ac:dyDescent="0.3">
      <c r="C254" s="114"/>
      <c r="D254" s="233" t="s">
        <v>746</v>
      </c>
      <c r="E254" s="234" t="s">
        <v>0</v>
      </c>
      <c r="F254" s="235">
        <v>1</v>
      </c>
      <c r="G254" s="236">
        <f>0.15+0.25+0.25+0.25</f>
        <v>0.9</v>
      </c>
      <c r="H254" s="236"/>
      <c r="I254" s="236">
        <v>2.88</v>
      </c>
      <c r="J254" s="235">
        <v>1</v>
      </c>
      <c r="K254" s="237"/>
      <c r="L254" s="237">
        <f t="shared" si="12"/>
        <v>2.5920000000000001</v>
      </c>
      <c r="M254" s="111"/>
      <c r="N254" s="111"/>
      <c r="O254" s="111"/>
      <c r="P254" s="111"/>
    </row>
    <row r="255" spans="3:16" x14ac:dyDescent="0.3">
      <c r="C255" s="114"/>
      <c r="D255" s="233" t="s">
        <v>747</v>
      </c>
      <c r="E255" s="234" t="s">
        <v>0</v>
      </c>
      <c r="F255" s="235">
        <v>1</v>
      </c>
      <c r="G255" s="236">
        <v>1.2</v>
      </c>
      <c r="H255" s="236"/>
      <c r="I255" s="236">
        <v>2.88</v>
      </c>
      <c r="J255" s="235">
        <v>1</v>
      </c>
      <c r="K255" s="237"/>
      <c r="L255" s="237">
        <f t="shared" si="12"/>
        <v>3.456</v>
      </c>
      <c r="M255" s="111"/>
      <c r="N255" s="111"/>
      <c r="O255" s="111"/>
      <c r="P255" s="111"/>
    </row>
    <row r="256" spans="3:16" x14ac:dyDescent="0.3">
      <c r="C256" s="114"/>
      <c r="D256" s="233"/>
      <c r="E256" s="234" t="s">
        <v>0</v>
      </c>
      <c r="F256" s="235">
        <v>1</v>
      </c>
      <c r="G256" s="236">
        <v>1.3</v>
      </c>
      <c r="H256" s="236"/>
      <c r="I256" s="236">
        <v>2.88</v>
      </c>
      <c r="J256" s="235">
        <v>1</v>
      </c>
      <c r="K256" s="237"/>
      <c r="L256" s="237">
        <f t="shared" si="12"/>
        <v>3.7439999999999998</v>
      </c>
      <c r="M256" s="111"/>
      <c r="N256" s="111"/>
      <c r="O256" s="111"/>
      <c r="P256" s="111"/>
    </row>
    <row r="257" spans="3:16" x14ac:dyDescent="0.3">
      <c r="C257" s="114"/>
      <c r="D257" s="233" t="s">
        <v>748</v>
      </c>
      <c r="E257" s="234" t="s">
        <v>0</v>
      </c>
      <c r="F257" s="235">
        <v>1</v>
      </c>
      <c r="G257" s="236">
        <f>0.25+0.25+0.25+0.25</f>
        <v>1</v>
      </c>
      <c r="H257" s="236"/>
      <c r="I257" s="236">
        <v>2.88</v>
      </c>
      <c r="J257" s="235">
        <v>1</v>
      </c>
      <c r="K257" s="237"/>
      <c r="L257" s="237">
        <f t="shared" si="12"/>
        <v>2.88</v>
      </c>
      <c r="M257" s="111"/>
      <c r="N257" s="111"/>
      <c r="O257" s="111"/>
      <c r="P257" s="111"/>
    </row>
    <row r="258" spans="3:16" x14ac:dyDescent="0.3">
      <c r="C258" s="114"/>
      <c r="D258" s="233" t="s">
        <v>749</v>
      </c>
      <c r="E258" s="234" t="s">
        <v>0</v>
      </c>
      <c r="F258" s="235">
        <v>1</v>
      </c>
      <c r="G258" s="236">
        <f>0.25+0.1+0.15+0.1</f>
        <v>0.6</v>
      </c>
      <c r="H258" s="236"/>
      <c r="I258" s="236">
        <v>2.88</v>
      </c>
      <c r="J258" s="235">
        <v>1</v>
      </c>
      <c r="K258" s="237"/>
      <c r="L258" s="237">
        <f t="shared" si="12"/>
        <v>1.728</v>
      </c>
      <c r="M258" s="111"/>
      <c r="N258" s="111"/>
      <c r="O258" s="111"/>
      <c r="P258" s="111"/>
    </row>
    <row r="259" spans="3:16" x14ac:dyDescent="0.3">
      <c r="C259" s="114"/>
      <c r="D259" s="233" t="s">
        <v>750</v>
      </c>
      <c r="E259" s="234" t="s">
        <v>0</v>
      </c>
      <c r="F259" s="235">
        <v>1</v>
      </c>
      <c r="G259" s="236">
        <f>1.2+1.2+0.25</f>
        <v>2.65</v>
      </c>
      <c r="H259" s="236"/>
      <c r="I259" s="236">
        <v>2.88</v>
      </c>
      <c r="J259" s="235">
        <v>1</v>
      </c>
      <c r="K259" s="237"/>
      <c r="L259" s="237">
        <f t="shared" si="12"/>
        <v>7.6319999999999997</v>
      </c>
      <c r="M259" s="111"/>
      <c r="N259" s="111"/>
      <c r="O259" s="111"/>
      <c r="P259" s="111"/>
    </row>
    <row r="260" spans="3:16" x14ac:dyDescent="0.3">
      <c r="C260" s="114"/>
      <c r="D260" s="233" t="s">
        <v>751</v>
      </c>
      <c r="E260" s="234" t="s">
        <v>0</v>
      </c>
      <c r="F260" s="235">
        <v>1</v>
      </c>
      <c r="G260" s="236">
        <f>0.15+0.25+0.3</f>
        <v>0.7</v>
      </c>
      <c r="H260" s="236"/>
      <c r="I260" s="236">
        <v>2.88</v>
      </c>
      <c r="J260" s="235">
        <v>1</v>
      </c>
      <c r="K260" s="237"/>
      <c r="L260" s="237">
        <f t="shared" si="12"/>
        <v>2.016</v>
      </c>
      <c r="M260" s="111"/>
      <c r="N260" s="111"/>
      <c r="O260" s="111"/>
      <c r="P260" s="111"/>
    </row>
    <row r="261" spans="3:16" x14ac:dyDescent="0.3">
      <c r="C261" s="114"/>
      <c r="D261" s="233" t="s">
        <v>752</v>
      </c>
      <c r="E261" s="234" t="s">
        <v>0</v>
      </c>
      <c r="F261" s="235">
        <v>1</v>
      </c>
      <c r="G261" s="236">
        <f>0.05+0.4+0.05+0.05+0.4+0.05</f>
        <v>1</v>
      </c>
      <c r="H261" s="236"/>
      <c r="I261" s="236">
        <v>2.88</v>
      </c>
      <c r="J261" s="235">
        <v>1</v>
      </c>
      <c r="K261" s="237"/>
      <c r="L261" s="237">
        <f>IF(F261="","",PRODUCT(F261:J261))</f>
        <v>2.88</v>
      </c>
      <c r="M261" s="111"/>
      <c r="N261" s="111"/>
      <c r="O261" s="111"/>
      <c r="P261" s="111"/>
    </row>
    <row r="262" spans="3:16" x14ac:dyDescent="0.3">
      <c r="C262" s="114"/>
      <c r="D262" s="233" t="s">
        <v>753</v>
      </c>
      <c r="E262" s="234" t="s">
        <v>0</v>
      </c>
      <c r="F262" s="235">
        <v>1</v>
      </c>
      <c r="G262" s="236">
        <f>0.15+0.05+0.05+0.3</f>
        <v>0.55000000000000004</v>
      </c>
      <c r="H262" s="236"/>
      <c r="I262" s="236">
        <v>2.88</v>
      </c>
      <c r="J262" s="235">
        <v>1</v>
      </c>
      <c r="K262" s="237"/>
      <c r="L262" s="237">
        <f t="shared" ref="L262" si="13">IF(F262="","",PRODUCT(F262:J262))</f>
        <v>1.5840000000000001</v>
      </c>
      <c r="M262" s="111"/>
      <c r="N262" s="111"/>
      <c r="O262" s="111"/>
      <c r="P262" s="111"/>
    </row>
    <row r="263" spans="3:16" x14ac:dyDescent="0.3">
      <c r="C263" s="114"/>
      <c r="D263" s="233" t="s">
        <v>754</v>
      </c>
      <c r="E263" s="234" t="s">
        <v>0</v>
      </c>
      <c r="F263" s="235">
        <v>1</v>
      </c>
      <c r="G263" s="236">
        <f>0.1+0.15</f>
        <v>0.25</v>
      </c>
      <c r="H263" s="236"/>
      <c r="I263" s="236">
        <v>2.88</v>
      </c>
      <c r="J263" s="235">
        <v>1</v>
      </c>
      <c r="K263" s="237"/>
      <c r="L263" s="237">
        <f>IF(F263="","",PRODUCT(F263:J263))</f>
        <v>0.72</v>
      </c>
      <c r="M263" s="111"/>
      <c r="N263" s="111"/>
      <c r="O263" s="111"/>
      <c r="P263" s="111"/>
    </row>
    <row r="264" spans="3:16" x14ac:dyDescent="0.3">
      <c r="C264" s="114"/>
      <c r="D264" s="233" t="s">
        <v>755</v>
      </c>
      <c r="E264" s="234" t="s">
        <v>0</v>
      </c>
      <c r="F264" s="235">
        <v>1</v>
      </c>
      <c r="G264" s="236">
        <f>0.1+0.15</f>
        <v>0.25</v>
      </c>
      <c r="H264" s="236"/>
      <c r="I264" s="236">
        <v>2.88</v>
      </c>
      <c r="J264" s="235">
        <v>1</v>
      </c>
      <c r="K264" s="237"/>
      <c r="L264" s="237">
        <f>IF(F264="","",PRODUCT(F264:J264))</f>
        <v>0.72</v>
      </c>
      <c r="M264" s="111"/>
      <c r="N264" s="111"/>
      <c r="O264" s="111"/>
      <c r="P264" s="111"/>
    </row>
    <row r="265" spans="3:16" x14ac:dyDescent="0.3">
      <c r="C265" s="114"/>
      <c r="D265" s="233" t="s">
        <v>756</v>
      </c>
      <c r="E265" s="234" t="s">
        <v>0</v>
      </c>
      <c r="F265" s="235">
        <v>1</v>
      </c>
      <c r="G265" s="236">
        <f>1.2+0.25+1.2+1.2+0.1</f>
        <v>3.9499999999999997</v>
      </c>
      <c r="H265" s="236"/>
      <c r="I265" s="236">
        <v>2.88</v>
      </c>
      <c r="J265" s="235">
        <v>1</v>
      </c>
      <c r="K265" s="237"/>
      <c r="L265" s="237">
        <f t="shared" ref="L265:L270" si="14">IF(F265="","",PRODUCT(F265:J265))</f>
        <v>11.375999999999999</v>
      </c>
      <c r="M265" s="111"/>
      <c r="N265" s="111"/>
      <c r="O265" s="111"/>
      <c r="P265" s="111"/>
    </row>
    <row r="266" spans="3:16" x14ac:dyDescent="0.3">
      <c r="C266" s="114"/>
      <c r="D266" s="233" t="s">
        <v>757</v>
      </c>
      <c r="E266" s="234" t="s">
        <v>0</v>
      </c>
      <c r="F266" s="235">
        <v>1</v>
      </c>
      <c r="G266" s="236">
        <f>0.4</f>
        <v>0.4</v>
      </c>
      <c r="H266" s="236"/>
      <c r="I266" s="236">
        <v>3.16</v>
      </c>
      <c r="J266" s="235">
        <v>1</v>
      </c>
      <c r="K266" s="237"/>
      <c r="L266" s="237">
        <f t="shared" si="14"/>
        <v>1.2640000000000002</v>
      </c>
      <c r="M266" s="111"/>
      <c r="N266" s="111"/>
      <c r="O266" s="111"/>
      <c r="P266" s="111"/>
    </row>
    <row r="267" spans="3:16" x14ac:dyDescent="0.3">
      <c r="C267" s="114"/>
      <c r="D267" s="233" t="s">
        <v>758</v>
      </c>
      <c r="E267" s="234" t="s">
        <v>0</v>
      </c>
      <c r="F267" s="235">
        <v>1</v>
      </c>
      <c r="G267" s="236">
        <f>0.25+0.4</f>
        <v>0.65</v>
      </c>
      <c r="H267" s="236"/>
      <c r="I267" s="236">
        <v>2.88</v>
      </c>
      <c r="J267" s="235">
        <v>1</v>
      </c>
      <c r="K267" s="237"/>
      <c r="L267" s="237">
        <f t="shared" si="14"/>
        <v>1.8719999999999999</v>
      </c>
      <c r="M267" s="111"/>
      <c r="N267" s="111"/>
      <c r="O267" s="111"/>
      <c r="P267" s="111"/>
    </row>
    <row r="268" spans="3:16" x14ac:dyDescent="0.3">
      <c r="C268" s="114"/>
      <c r="D268" s="233" t="s">
        <v>759</v>
      </c>
      <c r="E268" s="234" t="s">
        <v>0</v>
      </c>
      <c r="F268" s="235">
        <v>1</v>
      </c>
      <c r="G268" s="236">
        <f>0.4+0.4</f>
        <v>0.8</v>
      </c>
      <c r="H268" s="236"/>
      <c r="I268" s="236">
        <v>2.88</v>
      </c>
      <c r="J268" s="235">
        <v>1</v>
      </c>
      <c r="K268" s="237"/>
      <c r="L268" s="237">
        <f t="shared" si="14"/>
        <v>2.3039999999999998</v>
      </c>
      <c r="M268" s="111"/>
      <c r="N268" s="111"/>
      <c r="O268" s="111"/>
      <c r="P268" s="111"/>
    </row>
    <row r="269" spans="3:16" x14ac:dyDescent="0.3">
      <c r="C269" s="114"/>
      <c r="D269" s="233" t="s">
        <v>760</v>
      </c>
      <c r="E269" s="234" t="s">
        <v>0</v>
      </c>
      <c r="F269" s="235">
        <v>1</v>
      </c>
      <c r="G269" s="236">
        <f>0.4+0.25</f>
        <v>0.65</v>
      </c>
      <c r="H269" s="236"/>
      <c r="I269" s="236">
        <v>2.88</v>
      </c>
      <c r="J269" s="235">
        <v>1</v>
      </c>
      <c r="K269" s="237"/>
      <c r="L269" s="237">
        <f t="shared" si="14"/>
        <v>1.8719999999999999</v>
      </c>
      <c r="M269" s="111"/>
      <c r="N269" s="111"/>
      <c r="O269" s="111"/>
      <c r="P269" s="111"/>
    </row>
    <row r="270" spans="3:16" x14ac:dyDescent="0.3">
      <c r="C270" s="114"/>
      <c r="D270" s="233" t="s">
        <v>761</v>
      </c>
      <c r="E270" s="234" t="s">
        <v>0</v>
      </c>
      <c r="F270" s="235">
        <v>1</v>
      </c>
      <c r="G270" s="236">
        <f>0.15+0.25+0.15</f>
        <v>0.55000000000000004</v>
      </c>
      <c r="H270" s="236"/>
      <c r="I270" s="236">
        <v>2.88</v>
      </c>
      <c r="J270" s="235">
        <v>1</v>
      </c>
      <c r="K270" s="237"/>
      <c r="L270" s="237">
        <f t="shared" si="14"/>
        <v>1.5840000000000001</v>
      </c>
      <c r="M270" s="111"/>
      <c r="N270" s="111"/>
      <c r="O270" s="111"/>
      <c r="P270" s="111"/>
    </row>
    <row r="271" spans="3:16" x14ac:dyDescent="0.3">
      <c r="C271" s="114"/>
      <c r="D271" s="233" t="s">
        <v>762</v>
      </c>
      <c r="E271" s="234" t="s">
        <v>0</v>
      </c>
      <c r="F271" s="235">
        <v>1</v>
      </c>
      <c r="G271" s="236">
        <v>0.15</v>
      </c>
      <c r="H271" s="236"/>
      <c r="I271" s="236">
        <v>2.88</v>
      </c>
      <c r="J271" s="235">
        <v>1</v>
      </c>
      <c r="K271" s="237"/>
      <c r="L271" s="237">
        <f>IF(F271="","",PRODUCT(F271:J271))</f>
        <v>0.432</v>
      </c>
      <c r="M271" s="111"/>
      <c r="N271" s="111"/>
      <c r="O271" s="111"/>
      <c r="P271" s="111"/>
    </row>
    <row r="272" spans="3:16" x14ac:dyDescent="0.3">
      <c r="C272" s="114"/>
      <c r="D272" s="233" t="s">
        <v>763</v>
      </c>
      <c r="E272" s="234" t="s">
        <v>0</v>
      </c>
      <c r="F272" s="235">
        <v>1</v>
      </c>
      <c r="G272" s="236">
        <f>1.2+1.3</f>
        <v>2.5</v>
      </c>
      <c r="H272" s="236"/>
      <c r="I272" s="236">
        <v>2.88</v>
      </c>
      <c r="J272" s="235">
        <v>1</v>
      </c>
      <c r="K272" s="237"/>
      <c r="L272" s="237">
        <f>IF(F272="","",PRODUCT(F272:J272))</f>
        <v>7.1999999999999993</v>
      </c>
      <c r="M272" s="111"/>
      <c r="N272" s="111"/>
      <c r="O272" s="111"/>
      <c r="P272" s="111"/>
    </row>
    <row r="273" spans="3:16" x14ac:dyDescent="0.3">
      <c r="C273" s="114"/>
      <c r="D273" s="233" t="s">
        <v>764</v>
      </c>
      <c r="E273" s="234" t="s">
        <v>0</v>
      </c>
      <c r="F273" s="235">
        <v>1</v>
      </c>
      <c r="G273" s="236">
        <f>0.25+0.1+0.15</f>
        <v>0.5</v>
      </c>
      <c r="H273" s="236"/>
      <c r="I273" s="236">
        <v>2.88</v>
      </c>
      <c r="J273" s="235">
        <v>1</v>
      </c>
      <c r="K273" s="237"/>
      <c r="L273" s="237">
        <f t="shared" ref="L273:L276" si="15">IF(F273="","",PRODUCT(F273:J273))</f>
        <v>1.44</v>
      </c>
      <c r="M273" s="111"/>
      <c r="N273" s="111"/>
      <c r="O273" s="111"/>
      <c r="P273" s="111"/>
    </row>
    <row r="274" spans="3:16" x14ac:dyDescent="0.3">
      <c r="C274" s="114"/>
      <c r="D274" s="233" t="s">
        <v>765</v>
      </c>
      <c r="E274" s="234" t="s">
        <v>0</v>
      </c>
      <c r="F274" s="235">
        <v>1</v>
      </c>
      <c r="G274" s="236">
        <f>0.05+0.25+0.15</f>
        <v>0.44999999999999996</v>
      </c>
      <c r="H274" s="236"/>
      <c r="I274" s="236">
        <v>2.88</v>
      </c>
      <c r="J274" s="235">
        <v>1</v>
      </c>
      <c r="K274" s="237"/>
      <c r="L274" s="237">
        <f t="shared" si="15"/>
        <v>1.2959999999999998</v>
      </c>
      <c r="M274" s="111"/>
      <c r="N274" s="111"/>
      <c r="O274" s="111"/>
      <c r="P274" s="111"/>
    </row>
    <row r="275" spans="3:16" x14ac:dyDescent="0.3">
      <c r="C275" s="114"/>
      <c r="D275" s="233" t="s">
        <v>766</v>
      </c>
      <c r="E275" s="234" t="s">
        <v>0</v>
      </c>
      <c r="F275" s="235">
        <v>1</v>
      </c>
      <c r="G275" s="236">
        <v>1.3</v>
      </c>
      <c r="H275" s="236"/>
      <c r="I275" s="236">
        <v>2.88</v>
      </c>
      <c r="J275" s="235">
        <v>1</v>
      </c>
      <c r="K275" s="237"/>
      <c r="L275" s="237">
        <f t="shared" si="15"/>
        <v>3.7439999999999998</v>
      </c>
      <c r="M275" s="111"/>
      <c r="N275" s="111"/>
      <c r="O275" s="111"/>
      <c r="P275" s="111"/>
    </row>
    <row r="276" spans="3:16" x14ac:dyDescent="0.3">
      <c r="C276" s="114"/>
      <c r="D276" s="233" t="s">
        <v>767</v>
      </c>
      <c r="E276" s="234" t="s">
        <v>0</v>
      </c>
      <c r="F276" s="235">
        <v>1</v>
      </c>
      <c r="G276" s="236">
        <f>0.15+0.25+0.15</f>
        <v>0.55000000000000004</v>
      </c>
      <c r="H276" s="236"/>
      <c r="I276" s="236">
        <v>2.88</v>
      </c>
      <c r="J276" s="235">
        <v>1</v>
      </c>
      <c r="K276" s="237"/>
      <c r="L276" s="237">
        <f t="shared" si="15"/>
        <v>1.5840000000000001</v>
      </c>
      <c r="M276" s="111"/>
      <c r="N276" s="111"/>
      <c r="O276" s="111"/>
      <c r="P276" s="111"/>
    </row>
    <row r="277" spans="3:16" x14ac:dyDescent="0.3">
      <c r="C277" s="114"/>
      <c r="D277" s="233" t="s">
        <v>768</v>
      </c>
      <c r="E277" s="234" t="s">
        <v>0</v>
      </c>
      <c r="F277" s="235">
        <v>1</v>
      </c>
      <c r="G277" s="236">
        <f>0.15+0.1+0.05</f>
        <v>0.3</v>
      </c>
      <c r="H277" s="236"/>
      <c r="I277" s="236">
        <v>2.88</v>
      </c>
      <c r="J277" s="235">
        <v>1</v>
      </c>
      <c r="K277" s="237"/>
      <c r="L277" s="237">
        <f>IF(F277="","",PRODUCT(F277:J277))</f>
        <v>0.86399999999999999</v>
      </c>
      <c r="M277" s="111"/>
      <c r="N277" s="111"/>
      <c r="O277" s="111"/>
      <c r="P277" s="111"/>
    </row>
    <row r="278" spans="3:16" x14ac:dyDescent="0.3">
      <c r="C278" s="114"/>
      <c r="D278" s="233" t="s">
        <v>769</v>
      </c>
      <c r="E278" s="234" t="s">
        <v>0</v>
      </c>
      <c r="F278" s="235">
        <v>1</v>
      </c>
      <c r="G278" s="236">
        <v>1.3</v>
      </c>
      <c r="H278" s="236"/>
      <c r="I278" s="236">
        <v>2.88</v>
      </c>
      <c r="J278" s="235">
        <v>1</v>
      </c>
      <c r="K278" s="237"/>
      <c r="L278" s="237">
        <f t="shared" ref="L278:L281" si="16">IF(F278="","",PRODUCT(F278:J278))</f>
        <v>3.7439999999999998</v>
      </c>
      <c r="M278" s="111"/>
      <c r="N278" s="111"/>
      <c r="O278" s="111"/>
      <c r="P278" s="111"/>
    </row>
    <row r="279" spans="3:16" x14ac:dyDescent="0.3">
      <c r="C279" s="114"/>
      <c r="D279" s="233" t="s">
        <v>770</v>
      </c>
      <c r="E279" s="234" t="s">
        <v>0</v>
      </c>
      <c r="F279" s="235">
        <v>1</v>
      </c>
      <c r="G279" s="236">
        <f>0.25+0.15+0.15</f>
        <v>0.55000000000000004</v>
      </c>
      <c r="H279" s="236"/>
      <c r="I279" s="236">
        <v>2.88</v>
      </c>
      <c r="J279" s="235">
        <v>1</v>
      </c>
      <c r="K279" s="237"/>
      <c r="L279" s="237">
        <f t="shared" si="16"/>
        <v>1.5840000000000001</v>
      </c>
      <c r="M279" s="111"/>
      <c r="N279" s="111"/>
      <c r="O279" s="111"/>
      <c r="P279" s="111"/>
    </row>
    <row r="280" spans="3:16" x14ac:dyDescent="0.3">
      <c r="C280" s="114"/>
      <c r="D280" s="233" t="s">
        <v>771</v>
      </c>
      <c r="E280" s="234" t="s">
        <v>0</v>
      </c>
      <c r="F280" s="235">
        <v>1</v>
      </c>
      <c r="G280" s="236">
        <f>0.15</f>
        <v>0.15</v>
      </c>
      <c r="H280" s="236"/>
      <c r="I280" s="236">
        <v>3.88</v>
      </c>
      <c r="J280" s="235">
        <v>1</v>
      </c>
      <c r="K280" s="237"/>
      <c r="L280" s="237">
        <f t="shared" si="16"/>
        <v>0.58199999999999996</v>
      </c>
      <c r="M280" s="111"/>
      <c r="N280" s="111"/>
      <c r="O280" s="111"/>
      <c r="P280" s="111"/>
    </row>
    <row r="281" spans="3:16" x14ac:dyDescent="0.3">
      <c r="C281" s="114"/>
      <c r="D281" s="233" t="s">
        <v>772</v>
      </c>
      <c r="E281" s="234" t="s">
        <v>0</v>
      </c>
      <c r="F281" s="235">
        <v>1</v>
      </c>
      <c r="G281" s="236">
        <f>1.3+1.2</f>
        <v>2.5</v>
      </c>
      <c r="H281" s="236"/>
      <c r="I281" s="236">
        <v>2.88</v>
      </c>
      <c r="J281" s="235">
        <v>1</v>
      </c>
      <c r="K281" s="237"/>
      <c r="L281" s="237">
        <f t="shared" si="16"/>
        <v>7.1999999999999993</v>
      </c>
      <c r="M281" s="111"/>
      <c r="N281" s="111"/>
      <c r="O281" s="111"/>
      <c r="P281" s="111"/>
    </row>
    <row r="282" spans="3:16" x14ac:dyDescent="0.3">
      <c r="C282" s="114"/>
      <c r="D282" s="265"/>
      <c r="E282" s="116"/>
      <c r="F282" s="109"/>
      <c r="G282" s="110"/>
      <c r="H282" s="110"/>
      <c r="I282" s="110"/>
      <c r="J282" s="109"/>
      <c r="K282" s="111"/>
      <c r="L282" s="111"/>
      <c r="M282" s="111"/>
      <c r="N282" s="111"/>
      <c r="O282" s="111"/>
      <c r="P282" s="111"/>
    </row>
    <row r="283" spans="3:16" x14ac:dyDescent="0.3">
      <c r="C283" s="99" t="s">
        <v>1183</v>
      </c>
      <c r="D283" s="226" t="s">
        <v>519</v>
      </c>
      <c r="E283" s="101" t="s">
        <v>0</v>
      </c>
      <c r="F283" s="1"/>
      <c r="G283" s="2"/>
      <c r="H283" s="2"/>
      <c r="I283" s="2"/>
      <c r="J283" s="3"/>
      <c r="K283" s="103"/>
      <c r="L283" s="103" t="str">
        <f>IF(F283="","",PRODUCT(F283:J283))</f>
        <v/>
      </c>
      <c r="M283" s="103"/>
      <c r="N283" s="103"/>
      <c r="O283" s="103"/>
      <c r="P283" s="103">
        <f>SUM(L283:L467)</f>
        <v>269.85300000000012</v>
      </c>
    </row>
    <row r="284" spans="3:16" x14ac:dyDescent="0.3">
      <c r="C284" s="106"/>
      <c r="D284" s="115" t="s">
        <v>127</v>
      </c>
      <c r="E284" s="121"/>
      <c r="F284" s="3"/>
      <c r="G284" s="122" t="s">
        <v>198</v>
      </c>
      <c r="H284" s="122"/>
      <c r="I284" s="122"/>
      <c r="J284" s="3"/>
      <c r="K284" s="113"/>
      <c r="L284" s="113"/>
      <c r="M284" s="113"/>
      <c r="N284" s="113"/>
      <c r="O284" s="113"/>
      <c r="P284" s="113"/>
    </row>
    <row r="285" spans="3:16" x14ac:dyDescent="0.3">
      <c r="C285" s="114"/>
      <c r="D285" s="233" t="s">
        <v>774</v>
      </c>
      <c r="E285" s="234" t="s">
        <v>0</v>
      </c>
      <c r="F285" s="235">
        <v>1</v>
      </c>
      <c r="G285" s="236">
        <f>0.1+0.4</f>
        <v>0.5</v>
      </c>
      <c r="H285" s="236"/>
      <c r="I285" s="236">
        <v>3.29</v>
      </c>
      <c r="J285" s="235">
        <v>1</v>
      </c>
      <c r="K285" s="237"/>
      <c r="L285" s="237">
        <f t="shared" ref="L285:L344" si="17">IF(F285="","",PRODUCT(F285:J285))</f>
        <v>1.645</v>
      </c>
      <c r="M285" s="111"/>
      <c r="N285" s="111"/>
      <c r="O285" s="111"/>
      <c r="P285" s="111"/>
    </row>
    <row r="286" spans="3:16" x14ac:dyDescent="0.3">
      <c r="C286" s="114"/>
      <c r="D286" s="233" t="s">
        <v>717</v>
      </c>
      <c r="E286" s="234" t="s">
        <v>0</v>
      </c>
      <c r="F286" s="235">
        <v>1</v>
      </c>
      <c r="G286" s="236">
        <f>0.1+0.2</f>
        <v>0.30000000000000004</v>
      </c>
      <c r="H286" s="236"/>
      <c r="I286" s="236">
        <v>2.2000000000000002</v>
      </c>
      <c r="J286" s="235">
        <v>1</v>
      </c>
      <c r="K286" s="237"/>
      <c r="L286" s="237">
        <f t="shared" si="17"/>
        <v>0.66000000000000014</v>
      </c>
      <c r="M286" s="111"/>
      <c r="N286" s="111"/>
      <c r="O286" s="111"/>
      <c r="P286" s="111"/>
    </row>
    <row r="287" spans="3:16" x14ac:dyDescent="0.3">
      <c r="C287" s="114"/>
      <c r="D287" s="233" t="s">
        <v>775</v>
      </c>
      <c r="E287" s="234" t="s">
        <v>0</v>
      </c>
      <c r="F287" s="235">
        <v>1</v>
      </c>
      <c r="G287" s="236">
        <f>0.25+0.2</f>
        <v>0.45</v>
      </c>
      <c r="H287" s="236"/>
      <c r="I287" s="236">
        <f>2.83+1</f>
        <v>3.83</v>
      </c>
      <c r="J287" s="235">
        <v>1</v>
      </c>
      <c r="K287" s="237"/>
      <c r="L287" s="237">
        <f t="shared" si="17"/>
        <v>1.7235</v>
      </c>
      <c r="M287" s="111"/>
      <c r="N287" s="111"/>
      <c r="O287" s="111"/>
      <c r="P287" s="111"/>
    </row>
    <row r="288" spans="3:16" x14ac:dyDescent="0.3">
      <c r="C288" s="114"/>
      <c r="D288" s="233" t="s">
        <v>776</v>
      </c>
      <c r="E288" s="234" t="s">
        <v>0</v>
      </c>
      <c r="F288" s="235">
        <v>1</v>
      </c>
      <c r="G288" s="236">
        <f>0.25+0.2+0.2</f>
        <v>0.65</v>
      </c>
      <c r="H288" s="236"/>
      <c r="I288" s="236">
        <v>2.63</v>
      </c>
      <c r="J288" s="235">
        <v>1</v>
      </c>
      <c r="K288" s="237"/>
      <c r="L288" s="237">
        <f t="shared" si="17"/>
        <v>1.7095</v>
      </c>
      <c r="M288" s="111"/>
      <c r="N288" s="111"/>
      <c r="O288" s="111"/>
      <c r="P288" s="111"/>
    </row>
    <row r="289" spans="3:16" x14ac:dyDescent="0.3">
      <c r="C289" s="114"/>
      <c r="D289" s="233" t="s">
        <v>777</v>
      </c>
      <c r="E289" s="234" t="s">
        <v>0</v>
      </c>
      <c r="F289" s="235">
        <v>1</v>
      </c>
      <c r="G289" s="236">
        <f>0.25+0.2</f>
        <v>0.45</v>
      </c>
      <c r="H289" s="236"/>
      <c r="I289" s="236">
        <v>2.63</v>
      </c>
      <c r="J289" s="235">
        <v>1</v>
      </c>
      <c r="K289" s="237"/>
      <c r="L289" s="237">
        <f t="shared" si="17"/>
        <v>1.1835</v>
      </c>
      <c r="M289" s="111"/>
      <c r="N289" s="111"/>
      <c r="O289" s="111"/>
      <c r="P289" s="111"/>
    </row>
    <row r="290" spans="3:16" x14ac:dyDescent="0.3">
      <c r="C290" s="114"/>
      <c r="D290" s="233" t="s">
        <v>778</v>
      </c>
      <c r="E290" s="234" t="s">
        <v>0</v>
      </c>
      <c r="F290" s="235">
        <v>1</v>
      </c>
      <c r="G290" s="236">
        <f>0.2+0.15</f>
        <v>0.35</v>
      </c>
      <c r="H290" s="236"/>
      <c r="I290" s="236">
        <v>5.45</v>
      </c>
      <c r="J290" s="235">
        <v>1</v>
      </c>
      <c r="K290" s="237"/>
      <c r="L290" s="237">
        <f t="shared" si="17"/>
        <v>1.9075</v>
      </c>
      <c r="M290" s="111"/>
      <c r="N290" s="111"/>
      <c r="O290" s="111"/>
      <c r="P290" s="111"/>
    </row>
    <row r="291" spans="3:16" x14ac:dyDescent="0.3">
      <c r="C291" s="114"/>
      <c r="D291" s="233" t="s">
        <v>779</v>
      </c>
      <c r="E291" s="234" t="s">
        <v>0</v>
      </c>
      <c r="F291" s="235">
        <v>1</v>
      </c>
      <c r="G291" s="236">
        <f>0.25+0.2+0.2</f>
        <v>0.65</v>
      </c>
      <c r="H291" s="236"/>
      <c r="I291" s="236">
        <v>4.25</v>
      </c>
      <c r="J291" s="235">
        <v>1</v>
      </c>
      <c r="K291" s="237"/>
      <c r="L291" s="237">
        <f t="shared" si="17"/>
        <v>2.7625000000000002</v>
      </c>
      <c r="M291" s="111"/>
      <c r="N291" s="111"/>
      <c r="O291" s="111"/>
      <c r="P291" s="111"/>
    </row>
    <row r="292" spans="3:16" x14ac:dyDescent="0.3">
      <c r="C292" s="114"/>
      <c r="D292" s="233" t="s">
        <v>780</v>
      </c>
      <c r="E292" s="234" t="s">
        <v>0</v>
      </c>
      <c r="F292" s="235">
        <v>1</v>
      </c>
      <c r="G292" s="236">
        <f>0.1+0.2</f>
        <v>0.30000000000000004</v>
      </c>
      <c r="H292" s="236"/>
      <c r="I292" s="236">
        <v>4.25</v>
      </c>
      <c r="J292" s="235">
        <v>1</v>
      </c>
      <c r="K292" s="237"/>
      <c r="L292" s="237">
        <f t="shared" si="17"/>
        <v>1.2750000000000001</v>
      </c>
      <c r="M292" s="111"/>
      <c r="N292" s="111"/>
      <c r="O292" s="111"/>
      <c r="P292" s="111"/>
    </row>
    <row r="293" spans="3:16" x14ac:dyDescent="0.3">
      <c r="C293" s="114"/>
      <c r="D293" s="233" t="s">
        <v>781</v>
      </c>
      <c r="E293" s="234" t="s">
        <v>0</v>
      </c>
      <c r="F293" s="235">
        <v>1</v>
      </c>
      <c r="G293" s="236">
        <f>0.1+0.2+0.2</f>
        <v>0.5</v>
      </c>
      <c r="H293" s="236"/>
      <c r="I293" s="236">
        <v>2.2000000000000002</v>
      </c>
      <c r="J293" s="235">
        <v>1</v>
      </c>
      <c r="K293" s="237"/>
      <c r="L293" s="237">
        <f t="shared" si="17"/>
        <v>1.1000000000000001</v>
      </c>
      <c r="M293" s="111"/>
      <c r="N293" s="111"/>
      <c r="O293" s="111"/>
      <c r="P293" s="111"/>
    </row>
    <row r="294" spans="3:16" x14ac:dyDescent="0.3">
      <c r="C294" s="114"/>
      <c r="D294" s="233" t="s">
        <v>782</v>
      </c>
      <c r="E294" s="234" t="s">
        <v>0</v>
      </c>
      <c r="F294" s="235">
        <v>1</v>
      </c>
      <c r="G294" s="236">
        <f>0.1+0.2+0.2</f>
        <v>0.5</v>
      </c>
      <c r="H294" s="236"/>
      <c r="I294" s="236">
        <v>5.63</v>
      </c>
      <c r="J294" s="235">
        <v>1</v>
      </c>
      <c r="K294" s="237"/>
      <c r="L294" s="237">
        <f t="shared" si="17"/>
        <v>2.8149999999999999</v>
      </c>
      <c r="M294" s="111"/>
      <c r="N294" s="111"/>
      <c r="O294" s="111"/>
      <c r="P294" s="111"/>
    </row>
    <row r="295" spans="3:16" x14ac:dyDescent="0.3">
      <c r="C295" s="114"/>
      <c r="D295" s="233" t="s">
        <v>783</v>
      </c>
      <c r="E295" s="234" t="s">
        <v>0</v>
      </c>
      <c r="F295" s="235">
        <v>1</v>
      </c>
      <c r="G295" s="236">
        <f>0.25+0.2+0.2</f>
        <v>0.65</v>
      </c>
      <c r="H295" s="236"/>
      <c r="I295" s="236">
        <v>1.2</v>
      </c>
      <c r="J295" s="235">
        <v>1</v>
      </c>
      <c r="K295" s="237"/>
      <c r="L295" s="237">
        <f t="shared" si="17"/>
        <v>0.78</v>
      </c>
      <c r="M295" s="111"/>
      <c r="N295" s="111"/>
      <c r="O295" s="111"/>
      <c r="P295" s="111"/>
    </row>
    <row r="296" spans="3:16" x14ac:dyDescent="0.3">
      <c r="C296" s="114"/>
      <c r="D296" s="233"/>
      <c r="E296" s="234" t="s">
        <v>0</v>
      </c>
      <c r="F296" s="235">
        <v>1</v>
      </c>
      <c r="G296" s="236">
        <f>0.1+0.2+0.2</f>
        <v>0.5</v>
      </c>
      <c r="H296" s="236"/>
      <c r="I296" s="236">
        <v>1</v>
      </c>
      <c r="J296" s="235">
        <v>1</v>
      </c>
      <c r="K296" s="237"/>
      <c r="L296" s="237">
        <f t="shared" si="17"/>
        <v>0.5</v>
      </c>
      <c r="M296" s="111"/>
      <c r="N296" s="111"/>
      <c r="O296" s="111"/>
      <c r="P296" s="111"/>
    </row>
    <row r="297" spans="3:16" x14ac:dyDescent="0.3">
      <c r="C297" s="114"/>
      <c r="D297" s="233" t="s">
        <v>784</v>
      </c>
      <c r="E297" s="234" t="s">
        <v>0</v>
      </c>
      <c r="F297" s="235">
        <v>1</v>
      </c>
      <c r="G297" s="236">
        <f>0.1+0.2+0.2</f>
        <v>0.5</v>
      </c>
      <c r="H297" s="236"/>
      <c r="I297" s="236">
        <v>5.69</v>
      </c>
      <c r="J297" s="235">
        <v>1</v>
      </c>
      <c r="K297" s="237"/>
      <c r="L297" s="237">
        <f t="shared" si="17"/>
        <v>2.8450000000000002</v>
      </c>
      <c r="M297" s="111"/>
      <c r="N297" s="111"/>
      <c r="O297" s="111"/>
      <c r="P297" s="111"/>
    </row>
    <row r="298" spans="3:16" x14ac:dyDescent="0.3">
      <c r="C298" s="114"/>
      <c r="D298" s="233" t="s">
        <v>785</v>
      </c>
      <c r="E298" s="234" t="s">
        <v>0</v>
      </c>
      <c r="F298" s="235">
        <v>1</v>
      </c>
      <c r="G298" s="236">
        <f>0.25+0.2</f>
        <v>0.45</v>
      </c>
      <c r="H298" s="236"/>
      <c r="I298" s="236">
        <v>4.3499999999999996</v>
      </c>
      <c r="J298" s="235">
        <v>1</v>
      </c>
      <c r="K298" s="237"/>
      <c r="L298" s="237">
        <f t="shared" si="17"/>
        <v>1.9574999999999998</v>
      </c>
      <c r="M298" s="111"/>
      <c r="N298" s="111"/>
      <c r="O298" s="111"/>
      <c r="P298" s="111"/>
    </row>
    <row r="299" spans="3:16" x14ac:dyDescent="0.3">
      <c r="C299" s="114"/>
      <c r="D299" s="233" t="s">
        <v>786</v>
      </c>
      <c r="E299" s="234" t="s">
        <v>0</v>
      </c>
      <c r="F299" s="235">
        <v>1</v>
      </c>
      <c r="G299" s="236">
        <f>0.25+0.2+0.2</f>
        <v>0.65</v>
      </c>
      <c r="H299" s="236"/>
      <c r="I299" s="236">
        <v>3.84</v>
      </c>
      <c r="J299" s="235">
        <v>1</v>
      </c>
      <c r="K299" s="237"/>
      <c r="L299" s="237">
        <f t="shared" si="17"/>
        <v>2.496</v>
      </c>
      <c r="M299" s="111"/>
      <c r="N299" s="111"/>
      <c r="O299" s="111"/>
      <c r="P299" s="111"/>
    </row>
    <row r="300" spans="3:16" x14ac:dyDescent="0.3">
      <c r="C300" s="114"/>
      <c r="D300" s="233"/>
      <c r="E300" s="234" t="s">
        <v>0</v>
      </c>
      <c r="F300" s="235">
        <v>1</v>
      </c>
      <c r="G300" s="236">
        <f>0.1+0.2+0.2</f>
        <v>0.5</v>
      </c>
      <c r="H300" s="236"/>
      <c r="I300" s="236">
        <v>0.51</v>
      </c>
      <c r="J300" s="235">
        <v>1</v>
      </c>
      <c r="K300" s="237"/>
      <c r="L300" s="237">
        <f t="shared" si="17"/>
        <v>0.255</v>
      </c>
      <c r="M300" s="111"/>
      <c r="N300" s="111"/>
      <c r="O300" s="111"/>
      <c r="P300" s="111"/>
    </row>
    <row r="301" spans="3:16" x14ac:dyDescent="0.3">
      <c r="C301" s="114"/>
      <c r="D301" s="233" t="s">
        <v>787</v>
      </c>
      <c r="E301" s="234" t="s">
        <v>0</v>
      </c>
      <c r="F301" s="235">
        <v>1</v>
      </c>
      <c r="G301" s="236">
        <f>0.1+0.2</f>
        <v>0.30000000000000004</v>
      </c>
      <c r="H301" s="236"/>
      <c r="I301" s="236">
        <v>2.2999999999999998</v>
      </c>
      <c r="J301" s="235">
        <v>1</v>
      </c>
      <c r="K301" s="237"/>
      <c r="L301" s="237">
        <f t="shared" si="17"/>
        <v>0.69000000000000006</v>
      </c>
      <c r="M301" s="111"/>
      <c r="N301" s="111"/>
      <c r="O301" s="111"/>
      <c r="P301" s="111"/>
    </row>
    <row r="302" spans="3:16" x14ac:dyDescent="0.3">
      <c r="C302" s="114"/>
      <c r="D302" s="233"/>
      <c r="E302" s="234" t="s">
        <v>0</v>
      </c>
      <c r="F302" s="235">
        <v>1</v>
      </c>
      <c r="G302" s="236">
        <f>0.1+0.2</f>
        <v>0.30000000000000004</v>
      </c>
      <c r="H302" s="236"/>
      <c r="I302" s="236">
        <v>0.5</v>
      </c>
      <c r="J302" s="235">
        <v>1</v>
      </c>
      <c r="K302" s="237"/>
      <c r="L302" s="237">
        <f t="shared" si="17"/>
        <v>0.15000000000000002</v>
      </c>
      <c r="M302" s="111"/>
      <c r="N302" s="111"/>
      <c r="O302" s="111"/>
      <c r="P302" s="111"/>
    </row>
    <row r="303" spans="3:16" x14ac:dyDescent="0.3">
      <c r="C303" s="114"/>
      <c r="D303" s="233"/>
      <c r="E303" s="234" t="s">
        <v>0</v>
      </c>
      <c r="F303" s="235">
        <v>1</v>
      </c>
      <c r="G303" s="236">
        <f>0.25+0.2+0.2</f>
        <v>0.65</v>
      </c>
      <c r="H303" s="236"/>
      <c r="I303" s="236">
        <v>1.55</v>
      </c>
      <c r="J303" s="235">
        <v>1</v>
      </c>
      <c r="K303" s="237"/>
      <c r="L303" s="237">
        <f t="shared" si="17"/>
        <v>1.0075000000000001</v>
      </c>
      <c r="M303" s="111"/>
      <c r="N303" s="111"/>
      <c r="O303" s="111"/>
      <c r="P303" s="111"/>
    </row>
    <row r="304" spans="3:16" x14ac:dyDescent="0.3">
      <c r="C304" s="114"/>
      <c r="D304" s="233" t="s">
        <v>788</v>
      </c>
      <c r="E304" s="234" t="s">
        <v>0</v>
      </c>
      <c r="F304" s="235">
        <v>1</v>
      </c>
      <c r="G304" s="236">
        <f>0.25+0.2+0.2</f>
        <v>0.65</v>
      </c>
      <c r="H304" s="236"/>
      <c r="I304" s="236">
        <v>2.2000000000000002</v>
      </c>
      <c r="J304" s="235">
        <v>1</v>
      </c>
      <c r="K304" s="237"/>
      <c r="L304" s="237">
        <f t="shared" si="17"/>
        <v>1.4300000000000002</v>
      </c>
      <c r="M304" s="111"/>
      <c r="N304" s="111"/>
      <c r="O304" s="111"/>
      <c r="P304" s="111"/>
    </row>
    <row r="305" spans="3:16" x14ac:dyDescent="0.3">
      <c r="C305" s="114"/>
      <c r="D305" s="233" t="s">
        <v>789</v>
      </c>
      <c r="E305" s="234" t="s">
        <v>0</v>
      </c>
      <c r="F305" s="235">
        <v>1</v>
      </c>
      <c r="G305" s="236">
        <f>0.25+0.2+0.2</f>
        <v>0.65</v>
      </c>
      <c r="H305" s="236"/>
      <c r="I305" s="236">
        <v>5.69</v>
      </c>
      <c r="J305" s="235">
        <v>1</v>
      </c>
      <c r="K305" s="237"/>
      <c r="L305" s="237">
        <f t="shared" si="17"/>
        <v>3.6985000000000006</v>
      </c>
      <c r="M305" s="111"/>
      <c r="N305" s="111"/>
      <c r="O305" s="111"/>
      <c r="P305" s="111"/>
    </row>
    <row r="306" spans="3:16" x14ac:dyDescent="0.3">
      <c r="C306" s="114"/>
      <c r="D306" s="233" t="s">
        <v>790</v>
      </c>
      <c r="E306" s="234" t="s">
        <v>0</v>
      </c>
      <c r="F306" s="235">
        <v>1</v>
      </c>
      <c r="G306" s="236">
        <f>0.25+0.2</f>
        <v>0.45</v>
      </c>
      <c r="H306" s="236"/>
      <c r="I306" s="236">
        <v>3.81</v>
      </c>
      <c r="J306" s="235">
        <v>1</v>
      </c>
      <c r="K306" s="237"/>
      <c r="L306" s="237">
        <f t="shared" si="17"/>
        <v>1.7145000000000001</v>
      </c>
      <c r="M306" s="111"/>
      <c r="N306" s="111"/>
      <c r="O306" s="111"/>
      <c r="P306" s="111"/>
    </row>
    <row r="307" spans="3:16" x14ac:dyDescent="0.3">
      <c r="C307" s="114"/>
      <c r="D307" s="233" t="s">
        <v>791</v>
      </c>
      <c r="E307" s="234" t="s">
        <v>0</v>
      </c>
      <c r="F307" s="235">
        <v>1</v>
      </c>
      <c r="G307" s="236">
        <f>0.25+0.2+0.2</f>
        <v>0.65</v>
      </c>
      <c r="H307" s="236"/>
      <c r="I307" s="236">
        <v>3.81</v>
      </c>
      <c r="J307" s="235">
        <v>1</v>
      </c>
      <c r="K307" s="237"/>
      <c r="L307" s="237">
        <f t="shared" si="17"/>
        <v>2.4765000000000001</v>
      </c>
      <c r="M307" s="111"/>
      <c r="N307" s="111"/>
      <c r="O307" s="111"/>
      <c r="P307" s="111"/>
    </row>
    <row r="308" spans="3:16" x14ac:dyDescent="0.3">
      <c r="C308" s="114"/>
      <c r="D308" s="233" t="s">
        <v>792</v>
      </c>
      <c r="E308" s="234" t="s">
        <v>0</v>
      </c>
      <c r="F308" s="235">
        <v>1</v>
      </c>
      <c r="G308" s="236">
        <f>0.1+0.2</f>
        <v>0.30000000000000004</v>
      </c>
      <c r="H308" s="236"/>
      <c r="I308" s="236">
        <v>2.2999999999999998</v>
      </c>
      <c r="J308" s="235">
        <v>1</v>
      </c>
      <c r="K308" s="237"/>
      <c r="L308" s="237">
        <f t="shared" si="17"/>
        <v>0.69000000000000006</v>
      </c>
      <c r="M308" s="111"/>
      <c r="N308" s="111"/>
      <c r="O308" s="111"/>
      <c r="P308" s="111"/>
    </row>
    <row r="309" spans="3:16" x14ac:dyDescent="0.3">
      <c r="C309" s="114"/>
      <c r="D309" s="233"/>
      <c r="E309" s="234" t="s">
        <v>0</v>
      </c>
      <c r="F309" s="235">
        <v>1</v>
      </c>
      <c r="G309" s="236">
        <f>0.1+0.2</f>
        <v>0.30000000000000004</v>
      </c>
      <c r="H309" s="236"/>
      <c r="I309" s="236">
        <v>1.5</v>
      </c>
      <c r="J309" s="235">
        <v>1</v>
      </c>
      <c r="K309" s="237"/>
      <c r="L309" s="237">
        <f t="shared" si="17"/>
        <v>0.45000000000000007</v>
      </c>
      <c r="M309" s="111"/>
      <c r="N309" s="111"/>
      <c r="O309" s="111"/>
      <c r="P309" s="111"/>
    </row>
    <row r="310" spans="3:16" x14ac:dyDescent="0.3">
      <c r="C310" s="114"/>
      <c r="D310" s="233" t="s">
        <v>793</v>
      </c>
      <c r="E310" s="234" t="s">
        <v>0</v>
      </c>
      <c r="F310" s="235">
        <v>1</v>
      </c>
      <c r="G310" s="236">
        <f>0.25+0.2+0.2</f>
        <v>0.65</v>
      </c>
      <c r="H310" s="236"/>
      <c r="I310" s="236">
        <v>2.1</v>
      </c>
      <c r="J310" s="235">
        <v>1</v>
      </c>
      <c r="K310" s="237"/>
      <c r="L310" s="237">
        <f t="shared" si="17"/>
        <v>1.3650000000000002</v>
      </c>
      <c r="M310" s="111"/>
      <c r="N310" s="111"/>
      <c r="O310" s="111"/>
      <c r="P310" s="111"/>
    </row>
    <row r="311" spans="3:16" x14ac:dyDescent="0.3">
      <c r="C311" s="114"/>
      <c r="D311" s="233" t="s">
        <v>794</v>
      </c>
      <c r="E311" s="234" t="s">
        <v>0</v>
      </c>
      <c r="F311" s="235">
        <v>1</v>
      </c>
      <c r="G311" s="236">
        <f>0.25+0.2+0.2</f>
        <v>0.65</v>
      </c>
      <c r="H311" s="236"/>
      <c r="I311" s="236">
        <v>5.69</v>
      </c>
      <c r="J311" s="235">
        <v>1</v>
      </c>
      <c r="K311" s="237"/>
      <c r="L311" s="237">
        <f t="shared" si="17"/>
        <v>3.6985000000000006</v>
      </c>
      <c r="M311" s="111"/>
      <c r="N311" s="111"/>
      <c r="O311" s="111"/>
      <c r="P311" s="111"/>
    </row>
    <row r="312" spans="3:16" x14ac:dyDescent="0.3">
      <c r="C312" s="114"/>
      <c r="D312" s="233" t="s">
        <v>795</v>
      </c>
      <c r="E312" s="234" t="s">
        <v>0</v>
      </c>
      <c r="F312" s="235">
        <v>1</v>
      </c>
      <c r="G312" s="236">
        <f>0.25+0.2</f>
        <v>0.45</v>
      </c>
      <c r="H312" s="236"/>
      <c r="I312" s="236">
        <v>4.34</v>
      </c>
      <c r="J312" s="235">
        <v>1</v>
      </c>
      <c r="K312" s="237"/>
      <c r="L312" s="237">
        <f t="shared" si="17"/>
        <v>1.9530000000000001</v>
      </c>
      <c r="M312" s="111"/>
      <c r="N312" s="111"/>
      <c r="O312" s="111"/>
      <c r="P312" s="111"/>
    </row>
    <row r="313" spans="3:16" x14ac:dyDescent="0.3">
      <c r="C313" s="114"/>
      <c r="D313" s="233" t="s">
        <v>796</v>
      </c>
      <c r="E313" s="234" t="s">
        <v>0</v>
      </c>
      <c r="F313" s="235">
        <v>1</v>
      </c>
      <c r="G313" s="236">
        <f>0.1+0.2+0.2</f>
        <v>0.5</v>
      </c>
      <c r="H313" s="236"/>
      <c r="I313" s="236">
        <v>1.47</v>
      </c>
      <c r="J313" s="235">
        <v>1</v>
      </c>
      <c r="K313" s="237"/>
      <c r="L313" s="237">
        <f t="shared" si="17"/>
        <v>0.73499999999999999</v>
      </c>
      <c r="M313" s="111"/>
      <c r="N313" s="111"/>
      <c r="O313" s="111"/>
      <c r="P313" s="111"/>
    </row>
    <row r="314" spans="3:16" x14ac:dyDescent="0.3">
      <c r="C314" s="114"/>
      <c r="D314" s="233"/>
      <c r="E314" s="234" t="s">
        <v>0</v>
      </c>
      <c r="F314" s="235">
        <v>1</v>
      </c>
      <c r="G314" s="236">
        <f>0.25+0.2+0.2</f>
        <v>0.65</v>
      </c>
      <c r="H314" s="236"/>
      <c r="I314" s="236">
        <v>2.87</v>
      </c>
      <c r="J314" s="235">
        <v>1</v>
      </c>
      <c r="K314" s="237"/>
      <c r="L314" s="237">
        <f t="shared" si="17"/>
        <v>1.8655000000000002</v>
      </c>
      <c r="M314" s="111"/>
      <c r="N314" s="111"/>
      <c r="O314" s="111"/>
      <c r="P314" s="111"/>
    </row>
    <row r="315" spans="3:16" x14ac:dyDescent="0.3">
      <c r="C315" s="114"/>
      <c r="D315" s="233" t="s">
        <v>797</v>
      </c>
      <c r="E315" s="234" t="s">
        <v>0</v>
      </c>
      <c r="F315" s="235">
        <v>1</v>
      </c>
      <c r="G315" s="236">
        <f>0.1+0.2</f>
        <v>0.30000000000000004</v>
      </c>
      <c r="H315" s="236"/>
      <c r="I315" s="236">
        <v>1.47</v>
      </c>
      <c r="J315" s="235">
        <v>1</v>
      </c>
      <c r="K315" s="237"/>
      <c r="L315" s="237">
        <f t="shared" si="17"/>
        <v>0.44100000000000006</v>
      </c>
      <c r="M315" s="111"/>
      <c r="N315" s="111"/>
      <c r="O315" s="111"/>
      <c r="P315" s="111"/>
    </row>
    <row r="316" spans="3:16" x14ac:dyDescent="0.3">
      <c r="C316" s="114"/>
      <c r="D316" s="280"/>
      <c r="E316" s="234" t="s">
        <v>0</v>
      </c>
      <c r="F316" s="235">
        <v>1</v>
      </c>
      <c r="G316" s="236">
        <f>0.1+0.2</f>
        <v>0.30000000000000004</v>
      </c>
      <c r="H316" s="236"/>
      <c r="I316" s="236">
        <v>1.33</v>
      </c>
      <c r="J316" s="235">
        <v>1</v>
      </c>
      <c r="K316" s="237"/>
      <c r="L316" s="237">
        <f t="shared" si="17"/>
        <v>0.39900000000000008</v>
      </c>
      <c r="M316" s="111"/>
      <c r="N316" s="111"/>
      <c r="O316" s="111"/>
      <c r="P316" s="111"/>
    </row>
    <row r="317" spans="3:16" x14ac:dyDescent="0.3">
      <c r="C317" s="114"/>
      <c r="D317" s="280"/>
      <c r="E317" s="234" t="s">
        <v>0</v>
      </c>
      <c r="F317" s="235">
        <v>1</v>
      </c>
      <c r="G317" s="236">
        <f>0.25+0.2</f>
        <v>0.45</v>
      </c>
      <c r="H317" s="236"/>
      <c r="I317" s="236">
        <v>1.56</v>
      </c>
      <c r="J317" s="235">
        <v>1</v>
      </c>
      <c r="K317" s="237"/>
      <c r="L317" s="237">
        <f t="shared" si="17"/>
        <v>0.70200000000000007</v>
      </c>
      <c r="M317" s="111"/>
      <c r="N317" s="111"/>
      <c r="O317" s="111"/>
      <c r="P317" s="111"/>
    </row>
    <row r="318" spans="3:16" x14ac:dyDescent="0.3">
      <c r="C318" s="114"/>
      <c r="D318" s="233" t="s">
        <v>798</v>
      </c>
      <c r="E318" s="234" t="s">
        <v>0</v>
      </c>
      <c r="F318" s="235">
        <v>1</v>
      </c>
      <c r="G318" s="236">
        <f>0.25+0.2+0.2</f>
        <v>0.65</v>
      </c>
      <c r="H318" s="236"/>
      <c r="I318" s="236">
        <v>2.1</v>
      </c>
      <c r="J318" s="235">
        <v>1</v>
      </c>
      <c r="K318" s="237"/>
      <c r="L318" s="237">
        <f t="shared" si="17"/>
        <v>1.3650000000000002</v>
      </c>
      <c r="M318" s="111"/>
      <c r="N318" s="111"/>
      <c r="O318" s="111"/>
      <c r="P318" s="111"/>
    </row>
    <row r="319" spans="3:16" x14ac:dyDescent="0.3">
      <c r="C319" s="114"/>
      <c r="D319" s="233" t="s">
        <v>799</v>
      </c>
      <c r="E319" s="234" t="s">
        <v>0</v>
      </c>
      <c r="F319" s="235">
        <v>1</v>
      </c>
      <c r="G319" s="236">
        <f>0.25+0.2+0.2</f>
        <v>0.65</v>
      </c>
      <c r="H319" s="236"/>
      <c r="I319" s="236">
        <v>1.2</v>
      </c>
      <c r="J319" s="235">
        <v>1</v>
      </c>
      <c r="K319" s="237"/>
      <c r="L319" s="237">
        <f t="shared" si="17"/>
        <v>0.78</v>
      </c>
      <c r="M319" s="111"/>
      <c r="N319" s="111"/>
      <c r="O319" s="111"/>
      <c r="P319" s="111"/>
    </row>
    <row r="320" spans="3:16" x14ac:dyDescent="0.3">
      <c r="C320" s="114"/>
      <c r="D320" s="233"/>
      <c r="E320" s="234" t="s">
        <v>0</v>
      </c>
      <c r="F320" s="235">
        <v>1</v>
      </c>
      <c r="G320" s="236">
        <f>0.1+0.2+0.2</f>
        <v>0.5</v>
      </c>
      <c r="H320" s="236"/>
      <c r="I320" s="236">
        <v>4.49</v>
      </c>
      <c r="J320" s="235">
        <v>1</v>
      </c>
      <c r="K320" s="237"/>
      <c r="L320" s="237">
        <f t="shared" si="17"/>
        <v>2.2450000000000001</v>
      </c>
      <c r="M320" s="111"/>
      <c r="N320" s="111"/>
      <c r="O320" s="111"/>
      <c r="P320" s="111"/>
    </row>
    <row r="321" spans="3:16" x14ac:dyDescent="0.3">
      <c r="C321" s="114"/>
      <c r="D321" s="233" t="s">
        <v>800</v>
      </c>
      <c r="E321" s="234" t="s">
        <v>0</v>
      </c>
      <c r="F321" s="235">
        <v>1</v>
      </c>
      <c r="G321" s="236">
        <f>0.25+0.2</f>
        <v>0.45</v>
      </c>
      <c r="H321" s="236"/>
      <c r="I321" s="236">
        <v>3.78</v>
      </c>
      <c r="J321" s="235">
        <v>1</v>
      </c>
      <c r="K321" s="237"/>
      <c r="L321" s="237">
        <f t="shared" si="17"/>
        <v>1.7009999999999998</v>
      </c>
      <c r="M321" s="111"/>
      <c r="N321" s="111"/>
      <c r="O321" s="111"/>
      <c r="P321" s="111"/>
    </row>
    <row r="322" spans="3:16" x14ac:dyDescent="0.3">
      <c r="C322" s="114"/>
      <c r="D322" s="233" t="s">
        <v>801</v>
      </c>
      <c r="E322" s="234" t="s">
        <v>0</v>
      </c>
      <c r="F322" s="235">
        <v>1</v>
      </c>
      <c r="G322" s="236">
        <f>0.25+0.2+0.2</f>
        <v>0.65</v>
      </c>
      <c r="H322" s="236"/>
      <c r="I322" s="236">
        <f>1.5+2.28</f>
        <v>3.78</v>
      </c>
      <c r="J322" s="235">
        <v>1</v>
      </c>
      <c r="K322" s="237"/>
      <c r="L322" s="237">
        <f t="shared" si="17"/>
        <v>2.4569999999999999</v>
      </c>
      <c r="M322" s="111"/>
      <c r="N322" s="111"/>
      <c r="O322" s="111"/>
      <c r="P322" s="111"/>
    </row>
    <row r="323" spans="3:16" x14ac:dyDescent="0.3">
      <c r="C323" s="114"/>
      <c r="D323" s="233" t="s">
        <v>802</v>
      </c>
      <c r="E323" s="234" t="s">
        <v>0</v>
      </c>
      <c r="F323" s="235">
        <v>1</v>
      </c>
      <c r="G323" s="236">
        <f>0.1+0.2</f>
        <v>0.30000000000000004</v>
      </c>
      <c r="H323" s="236"/>
      <c r="I323" s="236">
        <v>2.2799999999999998</v>
      </c>
      <c r="J323" s="235">
        <v>1</v>
      </c>
      <c r="K323" s="237"/>
      <c r="L323" s="237">
        <f t="shared" si="17"/>
        <v>0.68400000000000005</v>
      </c>
      <c r="M323" s="111"/>
      <c r="N323" s="111"/>
      <c r="O323" s="111"/>
      <c r="P323" s="111"/>
    </row>
    <row r="324" spans="3:16" x14ac:dyDescent="0.3">
      <c r="C324" s="114"/>
      <c r="D324" s="280"/>
      <c r="E324" s="234" t="s">
        <v>0</v>
      </c>
      <c r="F324" s="235">
        <v>1</v>
      </c>
      <c r="G324" s="236">
        <f>0.25+0.2</f>
        <v>0.45</v>
      </c>
      <c r="H324" s="236"/>
      <c r="I324" s="236">
        <v>1.5</v>
      </c>
      <c r="J324" s="235">
        <v>1</v>
      </c>
      <c r="K324" s="237"/>
      <c r="L324" s="237">
        <f t="shared" si="17"/>
        <v>0.67500000000000004</v>
      </c>
      <c r="M324" s="111"/>
      <c r="N324" s="111"/>
      <c r="O324" s="111"/>
      <c r="P324" s="111"/>
    </row>
    <row r="325" spans="3:16" x14ac:dyDescent="0.3">
      <c r="C325" s="114"/>
      <c r="D325" s="233" t="s">
        <v>803</v>
      </c>
      <c r="E325" s="234" t="s">
        <v>0</v>
      </c>
      <c r="F325" s="235">
        <v>1</v>
      </c>
      <c r="G325" s="236">
        <f>0.25+0.2+0.2</f>
        <v>0.65</v>
      </c>
      <c r="H325" s="236"/>
      <c r="I325" s="236">
        <v>2.2000000000000002</v>
      </c>
      <c r="J325" s="235">
        <v>1</v>
      </c>
      <c r="K325" s="237"/>
      <c r="L325" s="237">
        <f t="shared" si="17"/>
        <v>1.4300000000000002</v>
      </c>
      <c r="M325" s="111"/>
      <c r="N325" s="111"/>
      <c r="O325" s="111"/>
      <c r="P325" s="111"/>
    </row>
    <row r="326" spans="3:16" x14ac:dyDescent="0.3">
      <c r="C326" s="114"/>
      <c r="D326" s="233" t="s">
        <v>804</v>
      </c>
      <c r="E326" s="234" t="s">
        <v>0</v>
      </c>
      <c r="F326" s="235">
        <v>1</v>
      </c>
      <c r="G326" s="236">
        <f>0.25+0.2+0.2</f>
        <v>0.65</v>
      </c>
      <c r="H326" s="236"/>
      <c r="I326" s="236">
        <v>5.69</v>
      </c>
      <c r="J326" s="235">
        <v>1</v>
      </c>
      <c r="K326" s="237"/>
      <c r="L326" s="237">
        <f t="shared" si="17"/>
        <v>3.6985000000000006</v>
      </c>
      <c r="M326" s="111"/>
      <c r="N326" s="111"/>
      <c r="O326" s="111"/>
      <c r="P326" s="111"/>
    </row>
    <row r="327" spans="3:16" x14ac:dyDescent="0.3">
      <c r="C327" s="114"/>
      <c r="D327" s="233" t="s">
        <v>805</v>
      </c>
      <c r="E327" s="234" t="s">
        <v>0</v>
      </c>
      <c r="F327" s="235">
        <v>1</v>
      </c>
      <c r="G327" s="236">
        <f>0.25+0.2</f>
        <v>0.45</v>
      </c>
      <c r="H327" s="236"/>
      <c r="I327" s="236">
        <v>4.3600000000000003</v>
      </c>
      <c r="J327" s="235">
        <v>1</v>
      </c>
      <c r="K327" s="237"/>
      <c r="L327" s="237">
        <f t="shared" si="17"/>
        <v>1.9620000000000002</v>
      </c>
      <c r="M327" s="111"/>
      <c r="N327" s="111"/>
      <c r="O327" s="111"/>
      <c r="P327" s="111"/>
    </row>
    <row r="328" spans="3:16" x14ac:dyDescent="0.3">
      <c r="C328" s="114"/>
      <c r="D328" s="233" t="s">
        <v>806</v>
      </c>
      <c r="E328" s="234" t="s">
        <v>0</v>
      </c>
      <c r="F328" s="235">
        <v>1</v>
      </c>
      <c r="G328" s="236">
        <f>0.25+0.2+0.2</f>
        <v>0.65</v>
      </c>
      <c r="H328" s="236"/>
      <c r="I328" s="236">
        <f>1.63+1.53</f>
        <v>3.16</v>
      </c>
      <c r="J328" s="235">
        <v>1</v>
      </c>
      <c r="K328" s="237"/>
      <c r="L328" s="237">
        <f t="shared" si="17"/>
        <v>2.0540000000000003</v>
      </c>
      <c r="M328" s="111"/>
      <c r="N328" s="111"/>
      <c r="O328" s="111"/>
      <c r="P328" s="111"/>
    </row>
    <row r="329" spans="3:16" x14ac:dyDescent="0.3">
      <c r="C329" s="114"/>
      <c r="D329" s="233" t="s">
        <v>807</v>
      </c>
      <c r="E329" s="234" t="s">
        <v>0</v>
      </c>
      <c r="F329" s="235">
        <v>1</v>
      </c>
      <c r="G329" s="236">
        <f>0.1+0.2</f>
        <v>0.30000000000000004</v>
      </c>
      <c r="H329" s="236"/>
      <c r="I329" s="236">
        <v>1.63</v>
      </c>
      <c r="J329" s="235">
        <v>1</v>
      </c>
      <c r="K329" s="237"/>
      <c r="L329" s="237">
        <f t="shared" si="17"/>
        <v>0.48900000000000005</v>
      </c>
      <c r="M329" s="111"/>
      <c r="N329" s="111"/>
      <c r="O329" s="111"/>
      <c r="P329" s="111"/>
    </row>
    <row r="330" spans="3:16" x14ac:dyDescent="0.3">
      <c r="C330" s="114"/>
      <c r="D330" s="280"/>
      <c r="E330" s="234" t="s">
        <v>0</v>
      </c>
      <c r="F330" s="235">
        <v>1</v>
      </c>
      <c r="G330" s="236">
        <f>0.25+0.2</f>
        <v>0.45</v>
      </c>
      <c r="H330" s="236"/>
      <c r="I330" s="236">
        <v>1.53</v>
      </c>
      <c r="J330" s="235">
        <v>1</v>
      </c>
      <c r="K330" s="237"/>
      <c r="L330" s="237">
        <f t="shared" si="17"/>
        <v>0.6885</v>
      </c>
      <c r="M330" s="111"/>
      <c r="N330" s="111"/>
      <c r="O330" s="111"/>
      <c r="P330" s="111"/>
    </row>
    <row r="331" spans="3:16" x14ac:dyDescent="0.3">
      <c r="C331" s="114"/>
      <c r="D331" s="233" t="s">
        <v>808</v>
      </c>
      <c r="E331" s="234" t="s">
        <v>0</v>
      </c>
      <c r="F331" s="235">
        <v>1</v>
      </c>
      <c r="G331" s="236">
        <f>0.25+0.2+0.2</f>
        <v>0.65</v>
      </c>
      <c r="H331" s="236"/>
      <c r="I331" s="236">
        <v>2.2000000000000002</v>
      </c>
      <c r="J331" s="235">
        <v>1</v>
      </c>
      <c r="K331" s="237"/>
      <c r="L331" s="237">
        <f t="shared" si="17"/>
        <v>1.4300000000000002</v>
      </c>
      <c r="M331" s="111"/>
      <c r="N331" s="111"/>
      <c r="O331" s="111"/>
      <c r="P331" s="111"/>
    </row>
    <row r="332" spans="3:16" x14ac:dyDescent="0.3">
      <c r="C332" s="114"/>
      <c r="D332" s="233" t="s">
        <v>809</v>
      </c>
      <c r="E332" s="234" t="s">
        <v>0</v>
      </c>
      <c r="F332" s="235">
        <v>1</v>
      </c>
      <c r="G332" s="236">
        <f>0.25+0.2+0.2</f>
        <v>0.65</v>
      </c>
      <c r="H332" s="236"/>
      <c r="I332" s="236">
        <v>5.69</v>
      </c>
      <c r="J332" s="235">
        <v>1</v>
      </c>
      <c r="K332" s="237"/>
      <c r="L332" s="237">
        <f t="shared" si="17"/>
        <v>3.6985000000000006</v>
      </c>
      <c r="M332" s="111"/>
      <c r="N332" s="111"/>
      <c r="O332" s="111"/>
      <c r="P332" s="111"/>
    </row>
    <row r="333" spans="3:16" x14ac:dyDescent="0.3">
      <c r="C333" s="114"/>
      <c r="D333" s="233" t="s">
        <v>805</v>
      </c>
      <c r="E333" s="234" t="s">
        <v>0</v>
      </c>
      <c r="F333" s="235">
        <v>1</v>
      </c>
      <c r="G333" s="236">
        <f>0.25+0.2</f>
        <v>0.45</v>
      </c>
      <c r="H333" s="236"/>
      <c r="I333" s="236">
        <v>3.81</v>
      </c>
      <c r="J333" s="235">
        <v>1</v>
      </c>
      <c r="K333" s="237"/>
      <c r="L333" s="237">
        <f t="shared" si="17"/>
        <v>1.7145000000000001</v>
      </c>
      <c r="M333" s="111"/>
      <c r="N333" s="111"/>
      <c r="O333" s="111"/>
      <c r="P333" s="111"/>
    </row>
    <row r="334" spans="3:16" x14ac:dyDescent="0.3">
      <c r="C334" s="114"/>
      <c r="D334" s="233" t="s">
        <v>806</v>
      </c>
      <c r="E334" s="234" t="s">
        <v>0</v>
      </c>
      <c r="F334" s="235">
        <v>1</v>
      </c>
      <c r="G334" s="236">
        <f>0.25+0.2+0.2</f>
        <v>0.65</v>
      </c>
      <c r="H334" s="236"/>
      <c r="I334" s="236">
        <f>2.3+1.5</f>
        <v>3.8</v>
      </c>
      <c r="J334" s="235">
        <v>1</v>
      </c>
      <c r="K334" s="237"/>
      <c r="L334" s="237">
        <f t="shared" si="17"/>
        <v>2.4699999999999998</v>
      </c>
      <c r="M334" s="111"/>
      <c r="N334" s="111"/>
      <c r="O334" s="111"/>
      <c r="P334" s="111"/>
    </row>
    <row r="335" spans="3:16" x14ac:dyDescent="0.3">
      <c r="C335" s="114"/>
      <c r="D335" s="233" t="s">
        <v>807</v>
      </c>
      <c r="E335" s="234" t="s">
        <v>0</v>
      </c>
      <c r="F335" s="235">
        <v>1</v>
      </c>
      <c r="G335" s="236">
        <f>0.1+0.2</f>
        <v>0.30000000000000004</v>
      </c>
      <c r="H335" s="236"/>
      <c r="I335" s="236">
        <v>2.2999999999999998</v>
      </c>
      <c r="J335" s="235">
        <v>1</v>
      </c>
      <c r="K335" s="237"/>
      <c r="L335" s="237">
        <f t="shared" si="17"/>
        <v>0.69000000000000006</v>
      </c>
      <c r="M335" s="111"/>
      <c r="N335" s="111"/>
      <c r="O335" s="111"/>
      <c r="P335" s="111"/>
    </row>
    <row r="336" spans="3:16" x14ac:dyDescent="0.3">
      <c r="C336" s="114"/>
      <c r="D336" s="280"/>
      <c r="E336" s="234" t="s">
        <v>0</v>
      </c>
      <c r="F336" s="235">
        <v>1</v>
      </c>
      <c r="G336" s="236">
        <f>0.25+0.2</f>
        <v>0.45</v>
      </c>
      <c r="H336" s="236"/>
      <c r="I336" s="236">
        <v>1.5</v>
      </c>
      <c r="J336" s="235">
        <v>1</v>
      </c>
      <c r="K336" s="237"/>
      <c r="L336" s="237">
        <f t="shared" si="17"/>
        <v>0.67500000000000004</v>
      </c>
      <c r="M336" s="111"/>
      <c r="N336" s="111"/>
      <c r="O336" s="111"/>
      <c r="P336" s="111"/>
    </row>
    <row r="337" spans="3:16" x14ac:dyDescent="0.3">
      <c r="C337" s="114"/>
      <c r="D337" s="233" t="s">
        <v>810</v>
      </c>
      <c r="E337" s="234" t="s">
        <v>0</v>
      </c>
      <c r="F337" s="235">
        <v>1</v>
      </c>
      <c r="G337" s="236">
        <f>0.25+0.2+0.2</f>
        <v>0.65</v>
      </c>
      <c r="H337" s="236"/>
      <c r="I337" s="236">
        <v>2.2000000000000002</v>
      </c>
      <c r="J337" s="235">
        <v>1</v>
      </c>
      <c r="K337" s="237"/>
      <c r="L337" s="237">
        <f t="shared" si="17"/>
        <v>1.4300000000000002</v>
      </c>
      <c r="M337" s="111"/>
      <c r="N337" s="111"/>
      <c r="O337" s="111"/>
      <c r="P337" s="111"/>
    </row>
    <row r="338" spans="3:16" x14ac:dyDescent="0.3">
      <c r="C338" s="114"/>
      <c r="D338" s="233" t="s">
        <v>811</v>
      </c>
      <c r="E338" s="234" t="s">
        <v>0</v>
      </c>
      <c r="F338" s="235">
        <v>1</v>
      </c>
      <c r="G338" s="236">
        <f>0.1+0.2+0.2</f>
        <v>0.5</v>
      </c>
      <c r="H338" s="236"/>
      <c r="I338" s="236">
        <v>5.69</v>
      </c>
      <c r="J338" s="235">
        <v>1</v>
      </c>
      <c r="K338" s="237"/>
      <c r="L338" s="237">
        <f t="shared" si="17"/>
        <v>2.8450000000000002</v>
      </c>
      <c r="M338" s="111"/>
      <c r="N338" s="111"/>
      <c r="O338" s="111"/>
      <c r="P338" s="111"/>
    </row>
    <row r="339" spans="3:16" x14ac:dyDescent="0.3">
      <c r="C339" s="114"/>
      <c r="D339" s="233" t="s">
        <v>812</v>
      </c>
      <c r="E339" s="234" t="s">
        <v>0</v>
      </c>
      <c r="F339" s="235">
        <v>1</v>
      </c>
      <c r="G339" s="236">
        <f>0.25+0.2</f>
        <v>0.45</v>
      </c>
      <c r="H339" s="236"/>
      <c r="I339" s="236">
        <v>3.7</v>
      </c>
      <c r="J339" s="235">
        <v>1</v>
      </c>
      <c r="K339" s="237"/>
      <c r="L339" s="237">
        <f t="shared" si="17"/>
        <v>1.665</v>
      </c>
      <c r="M339" s="111"/>
      <c r="N339" s="111"/>
      <c r="O339" s="111"/>
      <c r="P339" s="111"/>
    </row>
    <row r="340" spans="3:16" x14ac:dyDescent="0.3">
      <c r="C340" s="114"/>
      <c r="D340" s="233" t="s">
        <v>813</v>
      </c>
      <c r="E340" s="234" t="s">
        <v>0</v>
      </c>
      <c r="F340" s="235">
        <v>1</v>
      </c>
      <c r="G340" s="236">
        <f>0.25+0.2+0.2</f>
        <v>0.65</v>
      </c>
      <c r="H340" s="236"/>
      <c r="I340" s="236">
        <v>2.5</v>
      </c>
      <c r="J340" s="235">
        <v>1</v>
      </c>
      <c r="K340" s="237"/>
      <c r="L340" s="237">
        <f t="shared" si="17"/>
        <v>1.625</v>
      </c>
      <c r="M340" s="111"/>
      <c r="N340" s="111"/>
      <c r="O340" s="111"/>
      <c r="P340" s="111"/>
    </row>
    <row r="341" spans="3:16" x14ac:dyDescent="0.3">
      <c r="C341" s="114"/>
      <c r="D341" s="233" t="s">
        <v>814</v>
      </c>
      <c r="E341" s="234" t="s">
        <v>0</v>
      </c>
      <c r="F341" s="235">
        <v>1</v>
      </c>
      <c r="G341" s="236">
        <f>0.1+0.2</f>
        <v>0.30000000000000004</v>
      </c>
      <c r="H341" s="236"/>
      <c r="I341" s="236">
        <v>2.5</v>
      </c>
      <c r="J341" s="235">
        <v>1</v>
      </c>
      <c r="K341" s="237"/>
      <c r="L341" s="237">
        <f t="shared" si="17"/>
        <v>0.75000000000000011</v>
      </c>
      <c r="M341" s="111"/>
      <c r="N341" s="111"/>
      <c r="O341" s="111"/>
      <c r="P341" s="111"/>
    </row>
    <row r="342" spans="3:16" x14ac:dyDescent="0.3">
      <c r="C342" s="114"/>
      <c r="D342" s="233" t="s">
        <v>815</v>
      </c>
      <c r="E342" s="234" t="s">
        <v>0</v>
      </c>
      <c r="F342" s="235">
        <v>1</v>
      </c>
      <c r="G342" s="236">
        <f>0.25+0.2</f>
        <v>0.45</v>
      </c>
      <c r="H342" s="236"/>
      <c r="I342" s="236">
        <v>2.2000000000000002</v>
      </c>
      <c r="J342" s="235">
        <v>1</v>
      </c>
      <c r="K342" s="237"/>
      <c r="L342" s="237">
        <f t="shared" si="17"/>
        <v>0.9900000000000001</v>
      </c>
      <c r="M342" s="111"/>
      <c r="N342" s="111"/>
      <c r="O342" s="111"/>
      <c r="P342" s="111"/>
    </row>
    <row r="343" spans="3:16" x14ac:dyDescent="0.3">
      <c r="C343" s="114"/>
      <c r="D343" s="233" t="s">
        <v>816</v>
      </c>
      <c r="E343" s="234" t="s">
        <v>0</v>
      </c>
      <c r="F343" s="235">
        <v>1</v>
      </c>
      <c r="G343" s="236">
        <f>0.2</f>
        <v>0.2</v>
      </c>
      <c r="H343" s="236"/>
      <c r="I343" s="236">
        <v>1.66</v>
      </c>
      <c r="J343" s="235">
        <v>1</v>
      </c>
      <c r="K343" s="237"/>
      <c r="L343" s="237">
        <f t="shared" si="17"/>
        <v>0.33200000000000002</v>
      </c>
      <c r="M343" s="111"/>
      <c r="N343" s="111"/>
      <c r="O343" s="111"/>
      <c r="P343" s="111"/>
    </row>
    <row r="344" spans="3:16" x14ac:dyDescent="0.3">
      <c r="C344" s="114"/>
      <c r="D344" s="233" t="s">
        <v>817</v>
      </c>
      <c r="E344" s="234" t="s">
        <v>0</v>
      </c>
      <c r="F344" s="235">
        <v>1</v>
      </c>
      <c r="G344" s="236">
        <v>0.2</v>
      </c>
      <c r="H344" s="236"/>
      <c r="I344" s="236">
        <v>1.63</v>
      </c>
      <c r="J344" s="235">
        <v>1</v>
      </c>
      <c r="K344" s="237"/>
      <c r="L344" s="237">
        <f t="shared" si="17"/>
        <v>0.32600000000000001</v>
      </c>
      <c r="M344" s="111"/>
      <c r="N344" s="111"/>
      <c r="O344" s="111"/>
      <c r="P344" s="111"/>
    </row>
    <row r="345" spans="3:16" x14ac:dyDescent="0.3">
      <c r="C345" s="114"/>
      <c r="D345" s="115" t="s">
        <v>68</v>
      </c>
      <c r="E345" s="121"/>
      <c r="F345" s="3"/>
      <c r="G345" s="122" t="s">
        <v>198</v>
      </c>
      <c r="H345" s="122"/>
      <c r="I345" s="122"/>
      <c r="J345" s="3"/>
      <c r="K345" s="113"/>
      <c r="L345" s="113"/>
      <c r="M345" s="111"/>
      <c r="N345" s="111"/>
      <c r="O345" s="111"/>
      <c r="P345" s="111"/>
    </row>
    <row r="346" spans="3:16" x14ac:dyDescent="0.3">
      <c r="C346" s="114"/>
      <c r="D346" s="233" t="s">
        <v>774</v>
      </c>
      <c r="E346" s="234" t="s">
        <v>0</v>
      </c>
      <c r="F346" s="235">
        <v>1</v>
      </c>
      <c r="G346" s="236">
        <f>0.1+0.4</f>
        <v>0.5</v>
      </c>
      <c r="H346" s="236"/>
      <c r="I346" s="236">
        <v>3.29</v>
      </c>
      <c r="J346" s="235">
        <v>1</v>
      </c>
      <c r="K346" s="237"/>
      <c r="L346" s="237">
        <f t="shared" ref="L346:L405" si="18">IF(F346="","",PRODUCT(F346:J346))</f>
        <v>1.645</v>
      </c>
      <c r="M346" s="111"/>
      <c r="N346" s="111"/>
      <c r="O346" s="111"/>
      <c r="P346" s="111"/>
    </row>
    <row r="347" spans="3:16" x14ac:dyDescent="0.3">
      <c r="C347" s="114"/>
      <c r="D347" s="233" t="s">
        <v>717</v>
      </c>
      <c r="E347" s="234" t="s">
        <v>0</v>
      </c>
      <c r="F347" s="235">
        <v>1</v>
      </c>
      <c r="G347" s="236">
        <f>0.1+0.2</f>
        <v>0.30000000000000004</v>
      </c>
      <c r="H347" s="236"/>
      <c r="I347" s="236">
        <v>2.2000000000000002</v>
      </c>
      <c r="J347" s="235">
        <v>1</v>
      </c>
      <c r="K347" s="237"/>
      <c r="L347" s="237">
        <f t="shared" si="18"/>
        <v>0.66000000000000014</v>
      </c>
      <c r="M347" s="111"/>
      <c r="N347" s="111"/>
      <c r="O347" s="111"/>
      <c r="P347" s="111"/>
    </row>
    <row r="348" spans="3:16" x14ac:dyDescent="0.3">
      <c r="C348" s="114"/>
      <c r="D348" s="233" t="s">
        <v>775</v>
      </c>
      <c r="E348" s="234" t="s">
        <v>0</v>
      </c>
      <c r="F348" s="235">
        <v>1</v>
      </c>
      <c r="G348" s="236">
        <f>0.25+0.2</f>
        <v>0.45</v>
      </c>
      <c r="H348" s="236"/>
      <c r="I348" s="236">
        <f>2.83+1</f>
        <v>3.83</v>
      </c>
      <c r="J348" s="235">
        <v>1</v>
      </c>
      <c r="K348" s="237"/>
      <c r="L348" s="237">
        <f t="shared" si="18"/>
        <v>1.7235</v>
      </c>
      <c r="M348" s="111"/>
      <c r="N348" s="111"/>
      <c r="O348" s="111"/>
      <c r="P348" s="111"/>
    </row>
    <row r="349" spans="3:16" x14ac:dyDescent="0.3">
      <c r="C349" s="114"/>
      <c r="D349" s="233" t="s">
        <v>776</v>
      </c>
      <c r="E349" s="234" t="s">
        <v>0</v>
      </c>
      <c r="F349" s="235">
        <v>1</v>
      </c>
      <c r="G349" s="236">
        <f>0.25+0.2+0.2</f>
        <v>0.65</v>
      </c>
      <c r="H349" s="236"/>
      <c r="I349" s="236">
        <v>2.63</v>
      </c>
      <c r="J349" s="235">
        <v>1</v>
      </c>
      <c r="K349" s="237"/>
      <c r="L349" s="237">
        <f t="shared" si="18"/>
        <v>1.7095</v>
      </c>
      <c r="M349" s="111"/>
      <c r="N349" s="111"/>
      <c r="O349" s="111"/>
      <c r="P349" s="111"/>
    </row>
    <row r="350" spans="3:16" x14ac:dyDescent="0.3">
      <c r="C350" s="114"/>
      <c r="D350" s="233" t="s">
        <v>777</v>
      </c>
      <c r="E350" s="234" t="s">
        <v>0</v>
      </c>
      <c r="F350" s="235">
        <v>1</v>
      </c>
      <c r="G350" s="236">
        <f>0.25+0.2</f>
        <v>0.45</v>
      </c>
      <c r="H350" s="236"/>
      <c r="I350" s="236">
        <v>2.63</v>
      </c>
      <c r="J350" s="235">
        <v>1</v>
      </c>
      <c r="K350" s="237"/>
      <c r="L350" s="237">
        <f t="shared" si="18"/>
        <v>1.1835</v>
      </c>
      <c r="M350" s="111"/>
      <c r="N350" s="111"/>
      <c r="O350" s="111"/>
      <c r="P350" s="111"/>
    </row>
    <row r="351" spans="3:16" x14ac:dyDescent="0.3">
      <c r="C351" s="114"/>
      <c r="D351" s="233" t="s">
        <v>778</v>
      </c>
      <c r="E351" s="234" t="s">
        <v>0</v>
      </c>
      <c r="F351" s="235">
        <v>1</v>
      </c>
      <c r="G351" s="236">
        <f>0.2+0.15</f>
        <v>0.35</v>
      </c>
      <c r="H351" s="236"/>
      <c r="I351" s="236">
        <v>5.45</v>
      </c>
      <c r="J351" s="235">
        <v>1</v>
      </c>
      <c r="K351" s="237"/>
      <c r="L351" s="237">
        <f t="shared" si="18"/>
        <v>1.9075</v>
      </c>
      <c r="M351" s="111"/>
      <c r="N351" s="111"/>
      <c r="O351" s="111"/>
      <c r="P351" s="111"/>
    </row>
    <row r="352" spans="3:16" x14ac:dyDescent="0.3">
      <c r="C352" s="114"/>
      <c r="D352" s="233" t="s">
        <v>779</v>
      </c>
      <c r="E352" s="234" t="s">
        <v>0</v>
      </c>
      <c r="F352" s="235">
        <v>1</v>
      </c>
      <c r="G352" s="236">
        <f>0.25+0.2+0.2</f>
        <v>0.65</v>
      </c>
      <c r="H352" s="236"/>
      <c r="I352" s="236">
        <v>4.25</v>
      </c>
      <c r="J352" s="235">
        <v>1</v>
      </c>
      <c r="K352" s="237"/>
      <c r="L352" s="237">
        <f t="shared" si="18"/>
        <v>2.7625000000000002</v>
      </c>
      <c r="M352" s="111"/>
      <c r="N352" s="111"/>
      <c r="O352" s="111"/>
      <c r="P352" s="111"/>
    </row>
    <row r="353" spans="3:16" x14ac:dyDescent="0.3">
      <c r="C353" s="114"/>
      <c r="D353" s="233" t="s">
        <v>780</v>
      </c>
      <c r="E353" s="234" t="s">
        <v>0</v>
      </c>
      <c r="F353" s="235">
        <v>1</v>
      </c>
      <c r="G353" s="236">
        <f>0.1+0.2</f>
        <v>0.30000000000000004</v>
      </c>
      <c r="H353" s="236"/>
      <c r="I353" s="236">
        <v>4.25</v>
      </c>
      <c r="J353" s="235">
        <v>1</v>
      </c>
      <c r="K353" s="237"/>
      <c r="L353" s="237">
        <f t="shared" si="18"/>
        <v>1.2750000000000001</v>
      </c>
      <c r="M353" s="111"/>
      <c r="N353" s="111"/>
      <c r="O353" s="111"/>
      <c r="P353" s="111"/>
    </row>
    <row r="354" spans="3:16" x14ac:dyDescent="0.3">
      <c r="C354" s="114"/>
      <c r="D354" s="233" t="s">
        <v>781</v>
      </c>
      <c r="E354" s="234" t="s">
        <v>0</v>
      </c>
      <c r="F354" s="235">
        <v>1</v>
      </c>
      <c r="G354" s="236">
        <f>0.1+0.2+0.2</f>
        <v>0.5</v>
      </c>
      <c r="H354" s="236"/>
      <c r="I354" s="236">
        <v>2.2000000000000002</v>
      </c>
      <c r="J354" s="235">
        <v>1</v>
      </c>
      <c r="K354" s="237"/>
      <c r="L354" s="237">
        <f t="shared" si="18"/>
        <v>1.1000000000000001</v>
      </c>
      <c r="M354" s="111"/>
      <c r="N354" s="111"/>
      <c r="O354" s="111"/>
      <c r="P354" s="111"/>
    </row>
    <row r="355" spans="3:16" x14ac:dyDescent="0.3">
      <c r="C355" s="114"/>
      <c r="D355" s="233" t="s">
        <v>782</v>
      </c>
      <c r="E355" s="234" t="s">
        <v>0</v>
      </c>
      <c r="F355" s="235">
        <v>1</v>
      </c>
      <c r="G355" s="236">
        <f>0.1+0.2+0.2</f>
        <v>0.5</v>
      </c>
      <c r="H355" s="236"/>
      <c r="I355" s="236">
        <v>5.63</v>
      </c>
      <c r="J355" s="235">
        <v>1</v>
      </c>
      <c r="K355" s="237"/>
      <c r="L355" s="237">
        <f t="shared" si="18"/>
        <v>2.8149999999999999</v>
      </c>
      <c r="M355" s="111"/>
      <c r="N355" s="111"/>
      <c r="O355" s="111"/>
      <c r="P355" s="111"/>
    </row>
    <row r="356" spans="3:16" x14ac:dyDescent="0.3">
      <c r="C356" s="114"/>
      <c r="D356" s="233" t="s">
        <v>783</v>
      </c>
      <c r="E356" s="234" t="s">
        <v>0</v>
      </c>
      <c r="F356" s="235">
        <v>1</v>
      </c>
      <c r="G356" s="236">
        <f>0.25+0.2+0.2</f>
        <v>0.65</v>
      </c>
      <c r="H356" s="236"/>
      <c r="I356" s="236">
        <v>1.2</v>
      </c>
      <c r="J356" s="235">
        <v>1</v>
      </c>
      <c r="K356" s="237"/>
      <c r="L356" s="237">
        <f t="shared" si="18"/>
        <v>0.78</v>
      </c>
      <c r="M356" s="111"/>
      <c r="N356" s="111"/>
      <c r="O356" s="111"/>
      <c r="P356" s="111"/>
    </row>
    <row r="357" spans="3:16" x14ac:dyDescent="0.3">
      <c r="C357" s="114"/>
      <c r="D357" s="233"/>
      <c r="E357" s="234" t="s">
        <v>0</v>
      </c>
      <c r="F357" s="235">
        <v>1</v>
      </c>
      <c r="G357" s="236">
        <f>0.1+0.2+0.2</f>
        <v>0.5</v>
      </c>
      <c r="H357" s="236"/>
      <c r="I357" s="236">
        <v>1</v>
      </c>
      <c r="J357" s="235">
        <v>1</v>
      </c>
      <c r="K357" s="237"/>
      <c r="L357" s="237">
        <f t="shared" si="18"/>
        <v>0.5</v>
      </c>
      <c r="M357" s="111"/>
      <c r="N357" s="111"/>
      <c r="O357" s="111"/>
      <c r="P357" s="111"/>
    </row>
    <row r="358" spans="3:16" x14ac:dyDescent="0.3">
      <c r="C358" s="114"/>
      <c r="D358" s="233" t="s">
        <v>784</v>
      </c>
      <c r="E358" s="234" t="s">
        <v>0</v>
      </c>
      <c r="F358" s="235">
        <v>1</v>
      </c>
      <c r="G358" s="236">
        <f>0.1+0.2+0.2</f>
        <v>0.5</v>
      </c>
      <c r="H358" s="236"/>
      <c r="I358" s="236">
        <v>5.69</v>
      </c>
      <c r="J358" s="235">
        <v>1</v>
      </c>
      <c r="K358" s="237"/>
      <c r="L358" s="237">
        <f t="shared" si="18"/>
        <v>2.8450000000000002</v>
      </c>
      <c r="M358" s="111"/>
      <c r="N358" s="111"/>
      <c r="O358" s="111"/>
      <c r="P358" s="111"/>
    </row>
    <row r="359" spans="3:16" x14ac:dyDescent="0.3">
      <c r="C359" s="114"/>
      <c r="D359" s="233" t="s">
        <v>785</v>
      </c>
      <c r="E359" s="234" t="s">
        <v>0</v>
      </c>
      <c r="F359" s="235">
        <v>1</v>
      </c>
      <c r="G359" s="236">
        <f>0.25+0.2</f>
        <v>0.45</v>
      </c>
      <c r="H359" s="236"/>
      <c r="I359" s="236">
        <v>4.3499999999999996</v>
      </c>
      <c r="J359" s="235">
        <v>1</v>
      </c>
      <c r="K359" s="237"/>
      <c r="L359" s="237">
        <f t="shared" si="18"/>
        <v>1.9574999999999998</v>
      </c>
      <c r="M359" s="111"/>
      <c r="N359" s="111"/>
      <c r="O359" s="111"/>
      <c r="P359" s="111"/>
    </row>
    <row r="360" spans="3:16" x14ac:dyDescent="0.3">
      <c r="C360" s="114"/>
      <c r="D360" s="233" t="s">
        <v>786</v>
      </c>
      <c r="E360" s="234" t="s">
        <v>0</v>
      </c>
      <c r="F360" s="235">
        <v>1</v>
      </c>
      <c r="G360" s="236">
        <f>0.25+0.2+0.2</f>
        <v>0.65</v>
      </c>
      <c r="H360" s="236"/>
      <c r="I360" s="236">
        <v>3.84</v>
      </c>
      <c r="J360" s="235">
        <v>1</v>
      </c>
      <c r="K360" s="237"/>
      <c r="L360" s="237">
        <f t="shared" si="18"/>
        <v>2.496</v>
      </c>
      <c r="M360" s="111"/>
      <c r="N360" s="111"/>
      <c r="O360" s="111"/>
      <c r="P360" s="111"/>
    </row>
    <row r="361" spans="3:16" x14ac:dyDescent="0.3">
      <c r="C361" s="114"/>
      <c r="D361" s="233"/>
      <c r="E361" s="234" t="s">
        <v>0</v>
      </c>
      <c r="F361" s="235">
        <v>1</v>
      </c>
      <c r="G361" s="236">
        <f>0.1+0.2+0.2</f>
        <v>0.5</v>
      </c>
      <c r="H361" s="236"/>
      <c r="I361" s="236">
        <v>0.51</v>
      </c>
      <c r="J361" s="235">
        <v>1</v>
      </c>
      <c r="K361" s="237"/>
      <c r="L361" s="237">
        <f t="shared" si="18"/>
        <v>0.255</v>
      </c>
      <c r="M361" s="111"/>
      <c r="N361" s="111"/>
      <c r="O361" s="111"/>
      <c r="P361" s="111"/>
    </row>
    <row r="362" spans="3:16" x14ac:dyDescent="0.3">
      <c r="C362" s="114"/>
      <c r="D362" s="233" t="s">
        <v>787</v>
      </c>
      <c r="E362" s="234" t="s">
        <v>0</v>
      </c>
      <c r="F362" s="235">
        <v>1</v>
      </c>
      <c r="G362" s="236">
        <f>0.1+0.2</f>
        <v>0.30000000000000004</v>
      </c>
      <c r="H362" s="236"/>
      <c r="I362" s="236">
        <v>2.2999999999999998</v>
      </c>
      <c r="J362" s="235">
        <v>1</v>
      </c>
      <c r="K362" s="237"/>
      <c r="L362" s="237">
        <f t="shared" si="18"/>
        <v>0.69000000000000006</v>
      </c>
      <c r="M362" s="111"/>
      <c r="N362" s="111"/>
      <c r="O362" s="111"/>
      <c r="P362" s="111"/>
    </row>
    <row r="363" spans="3:16" x14ac:dyDescent="0.3">
      <c r="C363" s="114"/>
      <c r="D363" s="233"/>
      <c r="E363" s="234" t="s">
        <v>0</v>
      </c>
      <c r="F363" s="235">
        <v>1</v>
      </c>
      <c r="G363" s="236">
        <f>0.1+0.2</f>
        <v>0.30000000000000004</v>
      </c>
      <c r="H363" s="236"/>
      <c r="I363" s="236">
        <v>0.5</v>
      </c>
      <c r="J363" s="235">
        <v>1</v>
      </c>
      <c r="K363" s="237"/>
      <c r="L363" s="237">
        <f t="shared" si="18"/>
        <v>0.15000000000000002</v>
      </c>
      <c r="M363" s="111"/>
      <c r="N363" s="111"/>
      <c r="O363" s="111"/>
      <c r="P363" s="111"/>
    </row>
    <row r="364" spans="3:16" x14ac:dyDescent="0.3">
      <c r="C364" s="114"/>
      <c r="D364" s="233"/>
      <c r="E364" s="234" t="s">
        <v>0</v>
      </c>
      <c r="F364" s="235">
        <v>1</v>
      </c>
      <c r="G364" s="236">
        <f>0.25+0.2+0.2</f>
        <v>0.65</v>
      </c>
      <c r="H364" s="236"/>
      <c r="I364" s="236">
        <v>1.55</v>
      </c>
      <c r="J364" s="235">
        <v>1</v>
      </c>
      <c r="K364" s="237"/>
      <c r="L364" s="237">
        <f t="shared" si="18"/>
        <v>1.0075000000000001</v>
      </c>
      <c r="M364" s="111"/>
      <c r="N364" s="111"/>
      <c r="O364" s="111"/>
      <c r="P364" s="111"/>
    </row>
    <row r="365" spans="3:16" x14ac:dyDescent="0.3">
      <c r="C365" s="114"/>
      <c r="D365" s="233" t="s">
        <v>788</v>
      </c>
      <c r="E365" s="234" t="s">
        <v>0</v>
      </c>
      <c r="F365" s="235">
        <v>1</v>
      </c>
      <c r="G365" s="236">
        <f>0.25+0.2+0.2</f>
        <v>0.65</v>
      </c>
      <c r="H365" s="236"/>
      <c r="I365" s="236">
        <v>2.2000000000000002</v>
      </c>
      <c r="J365" s="235">
        <v>1</v>
      </c>
      <c r="K365" s="237"/>
      <c r="L365" s="237">
        <f t="shared" si="18"/>
        <v>1.4300000000000002</v>
      </c>
      <c r="M365" s="111"/>
      <c r="N365" s="111"/>
      <c r="O365" s="111"/>
      <c r="P365" s="111"/>
    </row>
    <row r="366" spans="3:16" x14ac:dyDescent="0.3">
      <c r="C366" s="114"/>
      <c r="D366" s="233" t="s">
        <v>789</v>
      </c>
      <c r="E366" s="234" t="s">
        <v>0</v>
      </c>
      <c r="F366" s="235">
        <v>1</v>
      </c>
      <c r="G366" s="236">
        <f>0.25+0.2+0.2</f>
        <v>0.65</v>
      </c>
      <c r="H366" s="236"/>
      <c r="I366" s="236">
        <v>5.69</v>
      </c>
      <c r="J366" s="235">
        <v>1</v>
      </c>
      <c r="K366" s="237"/>
      <c r="L366" s="237">
        <f t="shared" si="18"/>
        <v>3.6985000000000006</v>
      </c>
      <c r="M366" s="111"/>
      <c r="N366" s="111"/>
      <c r="O366" s="111"/>
      <c r="P366" s="111"/>
    </row>
    <row r="367" spans="3:16" x14ac:dyDescent="0.3">
      <c r="C367" s="114"/>
      <c r="D367" s="233" t="s">
        <v>790</v>
      </c>
      <c r="E367" s="234" t="s">
        <v>0</v>
      </c>
      <c r="F367" s="235">
        <v>1</v>
      </c>
      <c r="G367" s="236">
        <f>0.25+0.2</f>
        <v>0.45</v>
      </c>
      <c r="H367" s="236"/>
      <c r="I367" s="236">
        <v>3.81</v>
      </c>
      <c r="J367" s="235">
        <v>1</v>
      </c>
      <c r="K367" s="237"/>
      <c r="L367" s="237">
        <f t="shared" si="18"/>
        <v>1.7145000000000001</v>
      </c>
      <c r="M367" s="111"/>
      <c r="N367" s="111"/>
      <c r="O367" s="111"/>
      <c r="P367" s="111"/>
    </row>
    <row r="368" spans="3:16" x14ac:dyDescent="0.3">
      <c r="C368" s="114"/>
      <c r="D368" s="233" t="s">
        <v>791</v>
      </c>
      <c r="E368" s="234" t="s">
        <v>0</v>
      </c>
      <c r="F368" s="235">
        <v>1</v>
      </c>
      <c r="G368" s="236">
        <f>0.25+0.2+0.2</f>
        <v>0.65</v>
      </c>
      <c r="H368" s="236"/>
      <c r="I368" s="236">
        <v>3.81</v>
      </c>
      <c r="J368" s="235">
        <v>1</v>
      </c>
      <c r="K368" s="237"/>
      <c r="L368" s="237">
        <f t="shared" si="18"/>
        <v>2.4765000000000001</v>
      </c>
      <c r="M368" s="111"/>
      <c r="N368" s="111"/>
      <c r="O368" s="111"/>
      <c r="P368" s="111"/>
    </row>
    <row r="369" spans="3:16" x14ac:dyDescent="0.3">
      <c r="C369" s="114"/>
      <c r="D369" s="233" t="s">
        <v>792</v>
      </c>
      <c r="E369" s="234" t="s">
        <v>0</v>
      </c>
      <c r="F369" s="235">
        <v>1</v>
      </c>
      <c r="G369" s="236">
        <f>0.1+0.2</f>
        <v>0.30000000000000004</v>
      </c>
      <c r="H369" s="236"/>
      <c r="I369" s="236">
        <v>2.2999999999999998</v>
      </c>
      <c r="J369" s="235">
        <v>1</v>
      </c>
      <c r="K369" s="237"/>
      <c r="L369" s="237">
        <f t="shared" si="18"/>
        <v>0.69000000000000006</v>
      </c>
      <c r="M369" s="111"/>
      <c r="N369" s="111"/>
      <c r="O369" s="111"/>
      <c r="P369" s="111"/>
    </row>
    <row r="370" spans="3:16" x14ac:dyDescent="0.3">
      <c r="C370" s="114"/>
      <c r="D370" s="233"/>
      <c r="E370" s="234" t="s">
        <v>0</v>
      </c>
      <c r="F370" s="235">
        <v>1</v>
      </c>
      <c r="G370" s="236">
        <f>0.1+0.2</f>
        <v>0.30000000000000004</v>
      </c>
      <c r="H370" s="236"/>
      <c r="I370" s="236">
        <v>1.5</v>
      </c>
      <c r="J370" s="235">
        <v>1</v>
      </c>
      <c r="K370" s="237"/>
      <c r="L370" s="237">
        <f t="shared" si="18"/>
        <v>0.45000000000000007</v>
      </c>
      <c r="M370" s="111"/>
      <c r="N370" s="111"/>
      <c r="O370" s="111"/>
      <c r="P370" s="111"/>
    </row>
    <row r="371" spans="3:16" x14ac:dyDescent="0.3">
      <c r="C371" s="114"/>
      <c r="D371" s="233" t="s">
        <v>793</v>
      </c>
      <c r="E371" s="234" t="s">
        <v>0</v>
      </c>
      <c r="F371" s="235">
        <v>1</v>
      </c>
      <c r="G371" s="236">
        <f>0.25+0.2+0.2</f>
        <v>0.65</v>
      </c>
      <c r="H371" s="236"/>
      <c r="I371" s="236">
        <v>2.1</v>
      </c>
      <c r="J371" s="235">
        <v>1</v>
      </c>
      <c r="K371" s="237"/>
      <c r="L371" s="237">
        <f t="shared" si="18"/>
        <v>1.3650000000000002</v>
      </c>
      <c r="M371" s="111"/>
      <c r="N371" s="111"/>
      <c r="O371" s="111"/>
      <c r="P371" s="111"/>
    </row>
    <row r="372" spans="3:16" x14ac:dyDescent="0.3">
      <c r="C372" s="114"/>
      <c r="D372" s="233" t="s">
        <v>794</v>
      </c>
      <c r="E372" s="234" t="s">
        <v>0</v>
      </c>
      <c r="F372" s="235">
        <v>1</v>
      </c>
      <c r="G372" s="236">
        <f>0.25+0.2+0.2</f>
        <v>0.65</v>
      </c>
      <c r="H372" s="236"/>
      <c r="I372" s="236">
        <v>5.69</v>
      </c>
      <c r="J372" s="235">
        <v>1</v>
      </c>
      <c r="K372" s="237"/>
      <c r="L372" s="237">
        <f t="shared" si="18"/>
        <v>3.6985000000000006</v>
      </c>
      <c r="M372" s="111"/>
      <c r="N372" s="111"/>
      <c r="O372" s="111"/>
      <c r="P372" s="111"/>
    </row>
    <row r="373" spans="3:16" x14ac:dyDescent="0.3">
      <c r="C373" s="114"/>
      <c r="D373" s="233" t="s">
        <v>795</v>
      </c>
      <c r="E373" s="234" t="s">
        <v>0</v>
      </c>
      <c r="F373" s="235">
        <v>1</v>
      </c>
      <c r="G373" s="236">
        <f>0.25+0.2</f>
        <v>0.45</v>
      </c>
      <c r="H373" s="236"/>
      <c r="I373" s="236">
        <v>4.34</v>
      </c>
      <c r="J373" s="235">
        <v>1</v>
      </c>
      <c r="K373" s="237"/>
      <c r="L373" s="237">
        <f t="shared" si="18"/>
        <v>1.9530000000000001</v>
      </c>
      <c r="M373" s="111"/>
      <c r="N373" s="111"/>
      <c r="O373" s="111"/>
      <c r="P373" s="111"/>
    </row>
    <row r="374" spans="3:16" x14ac:dyDescent="0.3">
      <c r="C374" s="114"/>
      <c r="D374" s="233" t="s">
        <v>796</v>
      </c>
      <c r="E374" s="234" t="s">
        <v>0</v>
      </c>
      <c r="F374" s="235">
        <v>1</v>
      </c>
      <c r="G374" s="236">
        <f>0.1+0.2+0.2</f>
        <v>0.5</v>
      </c>
      <c r="H374" s="236"/>
      <c r="I374" s="236">
        <v>1.47</v>
      </c>
      <c r="J374" s="235">
        <v>1</v>
      </c>
      <c r="K374" s="237"/>
      <c r="L374" s="237">
        <f t="shared" si="18"/>
        <v>0.73499999999999999</v>
      </c>
      <c r="M374" s="111"/>
      <c r="N374" s="111"/>
      <c r="O374" s="111"/>
      <c r="P374" s="111"/>
    </row>
    <row r="375" spans="3:16" x14ac:dyDescent="0.3">
      <c r="C375" s="114"/>
      <c r="D375" s="233"/>
      <c r="E375" s="234" t="s">
        <v>0</v>
      </c>
      <c r="F375" s="235">
        <v>1</v>
      </c>
      <c r="G375" s="236">
        <f>0.25+0.2+0.2</f>
        <v>0.65</v>
      </c>
      <c r="H375" s="236"/>
      <c r="I375" s="236">
        <v>2.87</v>
      </c>
      <c r="J375" s="235">
        <v>1</v>
      </c>
      <c r="K375" s="237"/>
      <c r="L375" s="237">
        <f t="shared" si="18"/>
        <v>1.8655000000000002</v>
      </c>
      <c r="M375" s="111"/>
      <c r="N375" s="111"/>
      <c r="O375" s="111"/>
      <c r="P375" s="111"/>
    </row>
    <row r="376" spans="3:16" x14ac:dyDescent="0.3">
      <c r="C376" s="114"/>
      <c r="D376" s="233" t="s">
        <v>797</v>
      </c>
      <c r="E376" s="234" t="s">
        <v>0</v>
      </c>
      <c r="F376" s="235">
        <v>1</v>
      </c>
      <c r="G376" s="236">
        <f>0.1+0.2</f>
        <v>0.30000000000000004</v>
      </c>
      <c r="H376" s="236"/>
      <c r="I376" s="236">
        <v>1.47</v>
      </c>
      <c r="J376" s="235">
        <v>1</v>
      </c>
      <c r="K376" s="237"/>
      <c r="L376" s="237">
        <f t="shared" si="18"/>
        <v>0.44100000000000006</v>
      </c>
      <c r="M376" s="111"/>
      <c r="N376" s="111"/>
      <c r="O376" s="111"/>
      <c r="P376" s="111"/>
    </row>
    <row r="377" spans="3:16" x14ac:dyDescent="0.3">
      <c r="C377" s="114"/>
      <c r="D377" s="280"/>
      <c r="E377" s="234" t="s">
        <v>0</v>
      </c>
      <c r="F377" s="235">
        <v>1</v>
      </c>
      <c r="G377" s="236">
        <f>0.1+0.2</f>
        <v>0.30000000000000004</v>
      </c>
      <c r="H377" s="236"/>
      <c r="I377" s="236">
        <v>1.33</v>
      </c>
      <c r="J377" s="235">
        <v>1</v>
      </c>
      <c r="K377" s="237"/>
      <c r="L377" s="237">
        <f t="shared" si="18"/>
        <v>0.39900000000000008</v>
      </c>
      <c r="M377" s="111"/>
      <c r="N377" s="111"/>
      <c r="O377" s="111"/>
      <c r="P377" s="111"/>
    </row>
    <row r="378" spans="3:16" x14ac:dyDescent="0.3">
      <c r="C378" s="114"/>
      <c r="D378" s="280"/>
      <c r="E378" s="234" t="s">
        <v>0</v>
      </c>
      <c r="F378" s="235">
        <v>1</v>
      </c>
      <c r="G378" s="236">
        <f>0.25+0.2</f>
        <v>0.45</v>
      </c>
      <c r="H378" s="236"/>
      <c r="I378" s="236">
        <v>1.56</v>
      </c>
      <c r="J378" s="235">
        <v>1</v>
      </c>
      <c r="K378" s="237"/>
      <c r="L378" s="237">
        <f t="shared" si="18"/>
        <v>0.70200000000000007</v>
      </c>
      <c r="M378" s="111"/>
      <c r="N378" s="111"/>
      <c r="O378" s="111"/>
      <c r="P378" s="111"/>
    </row>
    <row r="379" spans="3:16" x14ac:dyDescent="0.3">
      <c r="C379" s="114"/>
      <c r="D379" s="233" t="s">
        <v>798</v>
      </c>
      <c r="E379" s="234" t="s">
        <v>0</v>
      </c>
      <c r="F379" s="235">
        <v>1</v>
      </c>
      <c r="G379" s="236">
        <f>0.25+0.2+0.2</f>
        <v>0.65</v>
      </c>
      <c r="H379" s="236"/>
      <c r="I379" s="236">
        <v>2.1</v>
      </c>
      <c r="J379" s="235">
        <v>1</v>
      </c>
      <c r="K379" s="237"/>
      <c r="L379" s="237">
        <f t="shared" si="18"/>
        <v>1.3650000000000002</v>
      </c>
      <c r="M379" s="111"/>
      <c r="N379" s="111"/>
      <c r="O379" s="111"/>
      <c r="P379" s="111"/>
    </row>
    <row r="380" spans="3:16" x14ac:dyDescent="0.3">
      <c r="C380" s="114"/>
      <c r="D380" s="233" t="s">
        <v>799</v>
      </c>
      <c r="E380" s="234" t="s">
        <v>0</v>
      </c>
      <c r="F380" s="235">
        <v>1</v>
      </c>
      <c r="G380" s="236">
        <f>0.25+0.2+0.2</f>
        <v>0.65</v>
      </c>
      <c r="H380" s="236"/>
      <c r="I380" s="236">
        <v>1.2</v>
      </c>
      <c r="J380" s="235">
        <v>1</v>
      </c>
      <c r="K380" s="237"/>
      <c r="L380" s="237">
        <f t="shared" si="18"/>
        <v>0.78</v>
      </c>
      <c r="M380" s="111"/>
      <c r="N380" s="111"/>
      <c r="O380" s="111"/>
      <c r="P380" s="111"/>
    </row>
    <row r="381" spans="3:16" x14ac:dyDescent="0.3">
      <c r="C381" s="114"/>
      <c r="D381" s="233"/>
      <c r="E381" s="234" t="s">
        <v>0</v>
      </c>
      <c r="F381" s="235">
        <v>1</v>
      </c>
      <c r="G381" s="236">
        <f>0.1+0.2+0.2</f>
        <v>0.5</v>
      </c>
      <c r="H381" s="236"/>
      <c r="I381" s="236">
        <v>4.49</v>
      </c>
      <c r="J381" s="235">
        <v>1</v>
      </c>
      <c r="K381" s="237"/>
      <c r="L381" s="237">
        <f t="shared" si="18"/>
        <v>2.2450000000000001</v>
      </c>
      <c r="M381" s="111"/>
      <c r="N381" s="111"/>
      <c r="O381" s="111"/>
      <c r="P381" s="111"/>
    </row>
    <row r="382" spans="3:16" x14ac:dyDescent="0.3">
      <c r="C382" s="114"/>
      <c r="D382" s="233" t="s">
        <v>800</v>
      </c>
      <c r="E382" s="234" t="s">
        <v>0</v>
      </c>
      <c r="F382" s="235">
        <v>1</v>
      </c>
      <c r="G382" s="236">
        <f>0.25+0.2</f>
        <v>0.45</v>
      </c>
      <c r="H382" s="236"/>
      <c r="I382" s="236">
        <v>3.78</v>
      </c>
      <c r="J382" s="235">
        <v>1</v>
      </c>
      <c r="K382" s="237"/>
      <c r="L382" s="237">
        <f t="shared" si="18"/>
        <v>1.7009999999999998</v>
      </c>
      <c r="M382" s="111"/>
      <c r="N382" s="111"/>
      <c r="O382" s="111"/>
      <c r="P382" s="111"/>
    </row>
    <row r="383" spans="3:16" x14ac:dyDescent="0.3">
      <c r="C383" s="114"/>
      <c r="D383" s="233" t="s">
        <v>801</v>
      </c>
      <c r="E383" s="234" t="s">
        <v>0</v>
      </c>
      <c r="F383" s="235">
        <v>1</v>
      </c>
      <c r="G383" s="236">
        <f>0.25+0.2+0.2</f>
        <v>0.65</v>
      </c>
      <c r="H383" s="236"/>
      <c r="I383" s="236">
        <f>1.5+2.28</f>
        <v>3.78</v>
      </c>
      <c r="J383" s="235">
        <v>1</v>
      </c>
      <c r="K383" s="237"/>
      <c r="L383" s="237">
        <f t="shared" si="18"/>
        <v>2.4569999999999999</v>
      </c>
      <c r="M383" s="111"/>
      <c r="N383" s="111"/>
      <c r="O383" s="111"/>
      <c r="P383" s="111"/>
    </row>
    <row r="384" spans="3:16" x14ac:dyDescent="0.3">
      <c r="C384" s="114"/>
      <c r="D384" s="233" t="s">
        <v>802</v>
      </c>
      <c r="E384" s="234" t="s">
        <v>0</v>
      </c>
      <c r="F384" s="235">
        <v>1</v>
      </c>
      <c r="G384" s="236">
        <f>0.1+0.2</f>
        <v>0.30000000000000004</v>
      </c>
      <c r="H384" s="236"/>
      <c r="I384" s="236">
        <v>2.2799999999999998</v>
      </c>
      <c r="J384" s="235">
        <v>1</v>
      </c>
      <c r="K384" s="237"/>
      <c r="L384" s="237">
        <f t="shared" si="18"/>
        <v>0.68400000000000005</v>
      </c>
      <c r="M384" s="111"/>
      <c r="N384" s="111"/>
      <c r="O384" s="111"/>
      <c r="P384" s="111"/>
    </row>
    <row r="385" spans="3:16" x14ac:dyDescent="0.3">
      <c r="C385" s="114"/>
      <c r="D385" s="280"/>
      <c r="E385" s="234" t="s">
        <v>0</v>
      </c>
      <c r="F385" s="235">
        <v>1</v>
      </c>
      <c r="G385" s="236">
        <f>0.25+0.2</f>
        <v>0.45</v>
      </c>
      <c r="H385" s="236"/>
      <c r="I385" s="236">
        <v>1.5</v>
      </c>
      <c r="J385" s="235">
        <v>1</v>
      </c>
      <c r="K385" s="237"/>
      <c r="L385" s="237">
        <f t="shared" si="18"/>
        <v>0.67500000000000004</v>
      </c>
      <c r="M385" s="111"/>
      <c r="N385" s="111"/>
      <c r="O385" s="111"/>
      <c r="P385" s="111"/>
    </row>
    <row r="386" spans="3:16" x14ac:dyDescent="0.3">
      <c r="C386" s="114"/>
      <c r="D386" s="233" t="s">
        <v>803</v>
      </c>
      <c r="E386" s="234" t="s">
        <v>0</v>
      </c>
      <c r="F386" s="235">
        <v>1</v>
      </c>
      <c r="G386" s="236">
        <f>0.25+0.2+0.2</f>
        <v>0.65</v>
      </c>
      <c r="H386" s="236"/>
      <c r="I386" s="236">
        <v>2.2000000000000002</v>
      </c>
      <c r="J386" s="235">
        <v>1</v>
      </c>
      <c r="K386" s="237"/>
      <c r="L386" s="237">
        <f t="shared" si="18"/>
        <v>1.4300000000000002</v>
      </c>
      <c r="M386" s="111"/>
      <c r="N386" s="111"/>
      <c r="O386" s="111"/>
      <c r="P386" s="111"/>
    </row>
    <row r="387" spans="3:16" x14ac:dyDescent="0.3">
      <c r="C387" s="114"/>
      <c r="D387" s="233" t="s">
        <v>804</v>
      </c>
      <c r="E387" s="234" t="s">
        <v>0</v>
      </c>
      <c r="F387" s="235">
        <v>1</v>
      </c>
      <c r="G387" s="236">
        <f>0.25+0.2+0.2</f>
        <v>0.65</v>
      </c>
      <c r="H387" s="236"/>
      <c r="I387" s="236">
        <v>5.69</v>
      </c>
      <c r="J387" s="235">
        <v>1</v>
      </c>
      <c r="K387" s="237"/>
      <c r="L387" s="237">
        <f t="shared" si="18"/>
        <v>3.6985000000000006</v>
      </c>
      <c r="M387" s="111"/>
      <c r="N387" s="111"/>
      <c r="O387" s="111"/>
      <c r="P387" s="111"/>
    </row>
    <row r="388" spans="3:16" x14ac:dyDescent="0.3">
      <c r="C388" s="114"/>
      <c r="D388" s="233" t="s">
        <v>805</v>
      </c>
      <c r="E388" s="234" t="s">
        <v>0</v>
      </c>
      <c r="F388" s="235">
        <v>1</v>
      </c>
      <c r="G388" s="236">
        <f>0.25+0.2</f>
        <v>0.45</v>
      </c>
      <c r="H388" s="236"/>
      <c r="I388" s="236">
        <v>4.3600000000000003</v>
      </c>
      <c r="J388" s="235">
        <v>1</v>
      </c>
      <c r="K388" s="237"/>
      <c r="L388" s="237">
        <f t="shared" si="18"/>
        <v>1.9620000000000002</v>
      </c>
      <c r="M388" s="111"/>
      <c r="N388" s="111"/>
      <c r="O388" s="111"/>
      <c r="P388" s="111"/>
    </row>
    <row r="389" spans="3:16" x14ac:dyDescent="0.3">
      <c r="C389" s="114"/>
      <c r="D389" s="233" t="s">
        <v>806</v>
      </c>
      <c r="E389" s="234" t="s">
        <v>0</v>
      </c>
      <c r="F389" s="235">
        <v>1</v>
      </c>
      <c r="G389" s="236">
        <f>0.25+0.2+0.2</f>
        <v>0.65</v>
      </c>
      <c r="H389" s="236"/>
      <c r="I389" s="236">
        <f>1.63+1.53</f>
        <v>3.16</v>
      </c>
      <c r="J389" s="235">
        <v>1</v>
      </c>
      <c r="K389" s="237"/>
      <c r="L389" s="237">
        <f t="shared" si="18"/>
        <v>2.0540000000000003</v>
      </c>
      <c r="M389" s="111"/>
      <c r="N389" s="111"/>
      <c r="O389" s="111"/>
      <c r="P389" s="111"/>
    </row>
    <row r="390" spans="3:16" x14ac:dyDescent="0.3">
      <c r="C390" s="114"/>
      <c r="D390" s="233" t="s">
        <v>807</v>
      </c>
      <c r="E390" s="234" t="s">
        <v>0</v>
      </c>
      <c r="F390" s="235">
        <v>1</v>
      </c>
      <c r="G390" s="236">
        <f>0.1+0.2</f>
        <v>0.30000000000000004</v>
      </c>
      <c r="H390" s="236"/>
      <c r="I390" s="236">
        <v>1.63</v>
      </c>
      <c r="J390" s="235">
        <v>1</v>
      </c>
      <c r="K390" s="237"/>
      <c r="L390" s="237">
        <f t="shared" si="18"/>
        <v>0.48900000000000005</v>
      </c>
      <c r="M390" s="111"/>
      <c r="N390" s="111"/>
      <c r="O390" s="111"/>
      <c r="P390" s="111"/>
    </row>
    <row r="391" spans="3:16" x14ac:dyDescent="0.3">
      <c r="C391" s="114"/>
      <c r="D391" s="280"/>
      <c r="E391" s="234" t="s">
        <v>0</v>
      </c>
      <c r="F391" s="235">
        <v>1</v>
      </c>
      <c r="G391" s="236">
        <f>0.25+0.2</f>
        <v>0.45</v>
      </c>
      <c r="H391" s="236"/>
      <c r="I391" s="236">
        <v>1.53</v>
      </c>
      <c r="J391" s="235">
        <v>1</v>
      </c>
      <c r="K391" s="237"/>
      <c r="L391" s="237">
        <f t="shared" si="18"/>
        <v>0.6885</v>
      </c>
      <c r="M391" s="111"/>
      <c r="N391" s="111"/>
      <c r="O391" s="111"/>
      <c r="P391" s="111"/>
    </row>
    <row r="392" spans="3:16" x14ac:dyDescent="0.3">
      <c r="C392" s="114"/>
      <c r="D392" s="233" t="s">
        <v>808</v>
      </c>
      <c r="E392" s="234" t="s">
        <v>0</v>
      </c>
      <c r="F392" s="235">
        <v>1</v>
      </c>
      <c r="G392" s="236">
        <f>0.25+0.2+0.2</f>
        <v>0.65</v>
      </c>
      <c r="H392" s="236"/>
      <c r="I392" s="236">
        <v>2.2000000000000002</v>
      </c>
      <c r="J392" s="235">
        <v>1</v>
      </c>
      <c r="K392" s="237"/>
      <c r="L392" s="237">
        <f t="shared" si="18"/>
        <v>1.4300000000000002</v>
      </c>
      <c r="M392" s="111"/>
      <c r="N392" s="111"/>
      <c r="O392" s="111"/>
      <c r="P392" s="111"/>
    </row>
    <row r="393" spans="3:16" x14ac:dyDescent="0.3">
      <c r="C393" s="106"/>
      <c r="D393" s="233" t="s">
        <v>809</v>
      </c>
      <c r="E393" s="234" t="s">
        <v>0</v>
      </c>
      <c r="F393" s="235">
        <v>1</v>
      </c>
      <c r="G393" s="236">
        <f>0.25+0.2+0.2</f>
        <v>0.65</v>
      </c>
      <c r="H393" s="236"/>
      <c r="I393" s="236">
        <v>5.69</v>
      </c>
      <c r="J393" s="235">
        <v>1</v>
      </c>
      <c r="K393" s="237"/>
      <c r="L393" s="237">
        <f t="shared" si="18"/>
        <v>3.6985000000000006</v>
      </c>
      <c r="M393" s="113"/>
      <c r="N393" s="113"/>
      <c r="O393" s="113"/>
      <c r="P393" s="113"/>
    </row>
    <row r="394" spans="3:16" x14ac:dyDescent="0.3">
      <c r="C394" s="114"/>
      <c r="D394" s="233" t="s">
        <v>805</v>
      </c>
      <c r="E394" s="234" t="s">
        <v>0</v>
      </c>
      <c r="F394" s="235">
        <v>1</v>
      </c>
      <c r="G394" s="236">
        <f>0.25+0.2</f>
        <v>0.45</v>
      </c>
      <c r="H394" s="236"/>
      <c r="I394" s="236">
        <v>3.81</v>
      </c>
      <c r="J394" s="235">
        <v>1</v>
      </c>
      <c r="K394" s="237"/>
      <c r="L394" s="237">
        <f t="shared" si="18"/>
        <v>1.7145000000000001</v>
      </c>
      <c r="M394" s="111"/>
      <c r="N394" s="111"/>
      <c r="O394" s="111"/>
      <c r="P394" s="111"/>
    </row>
    <row r="395" spans="3:16" x14ac:dyDescent="0.3">
      <c r="C395" s="114"/>
      <c r="D395" s="233" t="s">
        <v>806</v>
      </c>
      <c r="E395" s="234" t="s">
        <v>0</v>
      </c>
      <c r="F395" s="235">
        <v>1</v>
      </c>
      <c r="G395" s="236">
        <f>0.25+0.2+0.2</f>
        <v>0.65</v>
      </c>
      <c r="H395" s="236"/>
      <c r="I395" s="236">
        <f>2.3+1.5</f>
        <v>3.8</v>
      </c>
      <c r="J395" s="235">
        <v>1</v>
      </c>
      <c r="K395" s="237"/>
      <c r="L395" s="237">
        <f t="shared" si="18"/>
        <v>2.4699999999999998</v>
      </c>
      <c r="M395" s="111"/>
      <c r="N395" s="111"/>
      <c r="O395" s="111"/>
      <c r="P395" s="111"/>
    </row>
    <row r="396" spans="3:16" x14ac:dyDescent="0.3">
      <c r="C396" s="114"/>
      <c r="D396" s="233" t="s">
        <v>807</v>
      </c>
      <c r="E396" s="234" t="s">
        <v>0</v>
      </c>
      <c r="F396" s="235">
        <v>1</v>
      </c>
      <c r="G396" s="236">
        <f>0.1+0.2</f>
        <v>0.30000000000000004</v>
      </c>
      <c r="H396" s="236"/>
      <c r="I396" s="236">
        <v>2.2999999999999998</v>
      </c>
      <c r="J396" s="235">
        <v>1</v>
      </c>
      <c r="K396" s="237"/>
      <c r="L396" s="237">
        <f t="shared" si="18"/>
        <v>0.69000000000000006</v>
      </c>
      <c r="M396" s="111"/>
      <c r="N396" s="111"/>
      <c r="O396" s="111"/>
      <c r="P396" s="111"/>
    </row>
    <row r="397" spans="3:16" x14ac:dyDescent="0.3">
      <c r="C397" s="114"/>
      <c r="D397" s="280"/>
      <c r="E397" s="234" t="s">
        <v>0</v>
      </c>
      <c r="F397" s="235">
        <v>1</v>
      </c>
      <c r="G397" s="236">
        <f>0.25+0.2</f>
        <v>0.45</v>
      </c>
      <c r="H397" s="236"/>
      <c r="I397" s="236">
        <v>1.5</v>
      </c>
      <c r="J397" s="235">
        <v>1</v>
      </c>
      <c r="K397" s="237"/>
      <c r="L397" s="237">
        <f t="shared" si="18"/>
        <v>0.67500000000000004</v>
      </c>
      <c r="M397" s="111"/>
      <c r="N397" s="111"/>
      <c r="O397" s="111"/>
      <c r="P397" s="111"/>
    </row>
    <row r="398" spans="3:16" x14ac:dyDescent="0.3">
      <c r="C398" s="114"/>
      <c r="D398" s="233" t="s">
        <v>810</v>
      </c>
      <c r="E398" s="234" t="s">
        <v>0</v>
      </c>
      <c r="F398" s="235">
        <v>1</v>
      </c>
      <c r="G398" s="236">
        <f>0.25+0.2+0.2</f>
        <v>0.65</v>
      </c>
      <c r="H398" s="236"/>
      <c r="I398" s="236">
        <v>2.2000000000000002</v>
      </c>
      <c r="J398" s="235">
        <v>1</v>
      </c>
      <c r="K398" s="237"/>
      <c r="L398" s="237">
        <f t="shared" si="18"/>
        <v>1.4300000000000002</v>
      </c>
      <c r="M398" s="111"/>
      <c r="N398" s="111"/>
      <c r="O398" s="111"/>
      <c r="P398" s="111"/>
    </row>
    <row r="399" spans="3:16" x14ac:dyDescent="0.3">
      <c r="C399" s="114"/>
      <c r="D399" s="233" t="s">
        <v>811</v>
      </c>
      <c r="E399" s="234" t="s">
        <v>0</v>
      </c>
      <c r="F399" s="235">
        <v>1</v>
      </c>
      <c r="G399" s="236">
        <f>0.1+0.2+0.2</f>
        <v>0.5</v>
      </c>
      <c r="H399" s="236"/>
      <c r="I399" s="236">
        <v>5.69</v>
      </c>
      <c r="J399" s="235">
        <v>1</v>
      </c>
      <c r="K399" s="237"/>
      <c r="L399" s="237">
        <f t="shared" si="18"/>
        <v>2.8450000000000002</v>
      </c>
      <c r="M399" s="111"/>
      <c r="N399" s="111"/>
      <c r="O399" s="111"/>
      <c r="P399" s="111"/>
    </row>
    <row r="400" spans="3:16" x14ac:dyDescent="0.3">
      <c r="C400" s="114"/>
      <c r="D400" s="233" t="s">
        <v>812</v>
      </c>
      <c r="E400" s="234" t="s">
        <v>0</v>
      </c>
      <c r="F400" s="235">
        <v>1</v>
      </c>
      <c r="G400" s="236">
        <f>0.25+0.2</f>
        <v>0.45</v>
      </c>
      <c r="H400" s="236"/>
      <c r="I400" s="236">
        <v>3.7</v>
      </c>
      <c r="J400" s="235">
        <v>1</v>
      </c>
      <c r="K400" s="237"/>
      <c r="L400" s="237">
        <f t="shared" si="18"/>
        <v>1.665</v>
      </c>
      <c r="M400" s="111"/>
      <c r="N400" s="111"/>
      <c r="O400" s="111"/>
      <c r="P400" s="111"/>
    </row>
    <row r="401" spans="3:16" x14ac:dyDescent="0.3">
      <c r="C401" s="114"/>
      <c r="D401" s="233" t="s">
        <v>813</v>
      </c>
      <c r="E401" s="234" t="s">
        <v>0</v>
      </c>
      <c r="F401" s="235">
        <v>1</v>
      </c>
      <c r="G401" s="236">
        <f>0.25+0.2+0.2</f>
        <v>0.65</v>
      </c>
      <c r="H401" s="236"/>
      <c r="I401" s="236">
        <v>2.5</v>
      </c>
      <c r="J401" s="235">
        <v>1</v>
      </c>
      <c r="K401" s="237"/>
      <c r="L401" s="237">
        <f t="shared" si="18"/>
        <v>1.625</v>
      </c>
      <c r="M401" s="111"/>
      <c r="N401" s="111"/>
      <c r="O401" s="111"/>
      <c r="P401" s="111"/>
    </row>
    <row r="402" spans="3:16" x14ac:dyDescent="0.3">
      <c r="C402" s="114"/>
      <c r="D402" s="233" t="s">
        <v>814</v>
      </c>
      <c r="E402" s="234" t="s">
        <v>0</v>
      </c>
      <c r="F402" s="235">
        <v>1</v>
      </c>
      <c r="G402" s="236">
        <f>0.1+0.2</f>
        <v>0.30000000000000004</v>
      </c>
      <c r="H402" s="236"/>
      <c r="I402" s="236">
        <v>2.5</v>
      </c>
      <c r="J402" s="235">
        <v>1</v>
      </c>
      <c r="K402" s="237"/>
      <c r="L402" s="237">
        <f t="shared" si="18"/>
        <v>0.75000000000000011</v>
      </c>
      <c r="M402" s="111"/>
      <c r="N402" s="111"/>
      <c r="O402" s="111"/>
      <c r="P402" s="111"/>
    </row>
    <row r="403" spans="3:16" x14ac:dyDescent="0.3">
      <c r="C403" s="114"/>
      <c r="D403" s="233" t="s">
        <v>815</v>
      </c>
      <c r="E403" s="234" t="s">
        <v>0</v>
      </c>
      <c r="F403" s="235">
        <v>1</v>
      </c>
      <c r="G403" s="236">
        <f>0.25+0.2</f>
        <v>0.45</v>
      </c>
      <c r="H403" s="236"/>
      <c r="I403" s="236">
        <v>2.2000000000000002</v>
      </c>
      <c r="J403" s="235">
        <v>1</v>
      </c>
      <c r="K403" s="237"/>
      <c r="L403" s="237">
        <f t="shared" si="18"/>
        <v>0.9900000000000001</v>
      </c>
      <c r="M403" s="111"/>
      <c r="N403" s="111"/>
      <c r="O403" s="111"/>
      <c r="P403" s="111"/>
    </row>
    <row r="404" spans="3:16" x14ac:dyDescent="0.3">
      <c r="C404" s="114"/>
      <c r="D404" s="233" t="s">
        <v>816</v>
      </c>
      <c r="E404" s="234" t="s">
        <v>0</v>
      </c>
      <c r="F404" s="235">
        <v>1</v>
      </c>
      <c r="G404" s="236">
        <f>0.2</f>
        <v>0.2</v>
      </c>
      <c r="H404" s="236"/>
      <c r="I404" s="236">
        <v>1.66</v>
      </c>
      <c r="J404" s="235">
        <v>1</v>
      </c>
      <c r="K404" s="237"/>
      <c r="L404" s="237">
        <f t="shared" si="18"/>
        <v>0.33200000000000002</v>
      </c>
      <c r="M404" s="111"/>
      <c r="N404" s="111"/>
      <c r="O404" s="111"/>
      <c r="P404" s="111"/>
    </row>
    <row r="405" spans="3:16" x14ac:dyDescent="0.3">
      <c r="C405" s="114"/>
      <c r="D405" s="233" t="s">
        <v>817</v>
      </c>
      <c r="E405" s="234" t="s">
        <v>0</v>
      </c>
      <c r="F405" s="235">
        <v>1</v>
      </c>
      <c r="G405" s="236">
        <v>0.2</v>
      </c>
      <c r="H405" s="236"/>
      <c r="I405" s="236">
        <v>1.63</v>
      </c>
      <c r="J405" s="235">
        <v>1</v>
      </c>
      <c r="K405" s="237"/>
      <c r="L405" s="237">
        <f t="shared" si="18"/>
        <v>0.32600000000000001</v>
      </c>
      <c r="M405" s="111"/>
      <c r="N405" s="111"/>
      <c r="O405" s="111"/>
      <c r="P405" s="111"/>
    </row>
    <row r="406" spans="3:16" x14ac:dyDescent="0.3">
      <c r="C406" s="114"/>
      <c r="D406" s="115" t="s">
        <v>773</v>
      </c>
      <c r="E406" s="121"/>
      <c r="F406" s="3"/>
      <c r="G406" s="122" t="s">
        <v>198</v>
      </c>
      <c r="H406" s="122"/>
      <c r="I406" s="122"/>
      <c r="J406" s="3"/>
      <c r="K406" s="113"/>
      <c r="L406" s="113"/>
      <c r="M406" s="111"/>
      <c r="N406" s="111"/>
      <c r="O406" s="111"/>
      <c r="P406" s="111"/>
    </row>
    <row r="407" spans="3:16" x14ac:dyDescent="0.3">
      <c r="C407" s="114"/>
      <c r="D407" s="233" t="s">
        <v>774</v>
      </c>
      <c r="E407" s="234" t="s">
        <v>0</v>
      </c>
      <c r="F407" s="235">
        <v>1</v>
      </c>
      <c r="G407" s="236">
        <f>0.1+0.4</f>
        <v>0.5</v>
      </c>
      <c r="H407" s="236"/>
      <c r="I407" s="236">
        <v>3.29</v>
      </c>
      <c r="J407" s="235">
        <v>1</v>
      </c>
      <c r="K407" s="237"/>
      <c r="L407" s="237">
        <f t="shared" ref="L407:L466" si="19">IF(F407="","",PRODUCT(F407:J407))</f>
        <v>1.645</v>
      </c>
      <c r="M407" s="111"/>
      <c r="N407" s="111"/>
      <c r="O407" s="111"/>
      <c r="P407" s="111"/>
    </row>
    <row r="408" spans="3:16" x14ac:dyDescent="0.3">
      <c r="C408" s="114"/>
      <c r="D408" s="233" t="s">
        <v>717</v>
      </c>
      <c r="E408" s="234" t="s">
        <v>0</v>
      </c>
      <c r="F408" s="235">
        <v>1</v>
      </c>
      <c r="G408" s="236">
        <f>0.1+0.2</f>
        <v>0.30000000000000004</v>
      </c>
      <c r="H408" s="236"/>
      <c r="I408" s="236">
        <v>2.2000000000000002</v>
      </c>
      <c r="J408" s="235">
        <v>1</v>
      </c>
      <c r="K408" s="237"/>
      <c r="L408" s="237">
        <f t="shared" si="19"/>
        <v>0.66000000000000014</v>
      </c>
      <c r="M408" s="111"/>
      <c r="N408" s="111"/>
      <c r="O408" s="111"/>
      <c r="P408" s="111"/>
    </row>
    <row r="409" spans="3:16" x14ac:dyDescent="0.3">
      <c r="C409" s="114"/>
      <c r="D409" s="233" t="s">
        <v>775</v>
      </c>
      <c r="E409" s="234" t="s">
        <v>0</v>
      </c>
      <c r="F409" s="235">
        <v>1</v>
      </c>
      <c r="G409" s="236">
        <f>0.25+0.2</f>
        <v>0.45</v>
      </c>
      <c r="H409" s="236"/>
      <c r="I409" s="236">
        <f>2.83+1</f>
        <v>3.83</v>
      </c>
      <c r="J409" s="235">
        <v>1</v>
      </c>
      <c r="K409" s="237"/>
      <c r="L409" s="237">
        <f t="shared" si="19"/>
        <v>1.7235</v>
      </c>
      <c r="M409" s="111"/>
      <c r="N409" s="111"/>
      <c r="O409" s="111"/>
      <c r="P409" s="111"/>
    </row>
    <row r="410" spans="3:16" x14ac:dyDescent="0.3">
      <c r="C410" s="114"/>
      <c r="D410" s="233" t="s">
        <v>776</v>
      </c>
      <c r="E410" s="234" t="s">
        <v>0</v>
      </c>
      <c r="F410" s="235">
        <v>1</v>
      </c>
      <c r="G410" s="236">
        <f>0.25+0.2+0.2</f>
        <v>0.65</v>
      </c>
      <c r="H410" s="236"/>
      <c r="I410" s="236">
        <v>2.63</v>
      </c>
      <c r="J410" s="235">
        <v>1</v>
      </c>
      <c r="K410" s="237"/>
      <c r="L410" s="237">
        <f t="shared" si="19"/>
        <v>1.7095</v>
      </c>
      <c r="M410" s="111"/>
      <c r="N410" s="111"/>
      <c r="O410" s="111"/>
      <c r="P410" s="111"/>
    </row>
    <row r="411" spans="3:16" x14ac:dyDescent="0.3">
      <c r="C411" s="114"/>
      <c r="D411" s="233" t="s">
        <v>777</v>
      </c>
      <c r="E411" s="234" t="s">
        <v>0</v>
      </c>
      <c r="F411" s="235">
        <v>1</v>
      </c>
      <c r="G411" s="236">
        <f>0.25+0.2</f>
        <v>0.45</v>
      </c>
      <c r="H411" s="236"/>
      <c r="I411" s="236">
        <v>2.63</v>
      </c>
      <c r="J411" s="235">
        <v>1</v>
      </c>
      <c r="K411" s="237"/>
      <c r="L411" s="237">
        <f t="shared" si="19"/>
        <v>1.1835</v>
      </c>
      <c r="M411" s="111"/>
      <c r="N411" s="111"/>
      <c r="O411" s="111"/>
      <c r="P411" s="111"/>
    </row>
    <row r="412" spans="3:16" x14ac:dyDescent="0.3">
      <c r="C412" s="106"/>
      <c r="D412" s="233" t="s">
        <v>778</v>
      </c>
      <c r="E412" s="234" t="s">
        <v>0</v>
      </c>
      <c r="F412" s="235">
        <v>1</v>
      </c>
      <c r="G412" s="236">
        <f>0.2+0.15</f>
        <v>0.35</v>
      </c>
      <c r="H412" s="236"/>
      <c r="I412" s="236">
        <v>5.45</v>
      </c>
      <c r="J412" s="235">
        <v>1</v>
      </c>
      <c r="K412" s="237"/>
      <c r="L412" s="237">
        <f t="shared" si="19"/>
        <v>1.9075</v>
      </c>
      <c r="M412" s="113"/>
      <c r="N412" s="113"/>
      <c r="O412" s="113"/>
      <c r="P412" s="113"/>
    </row>
    <row r="413" spans="3:16" x14ac:dyDescent="0.3">
      <c r="C413" s="114"/>
      <c r="D413" s="233" t="s">
        <v>779</v>
      </c>
      <c r="E413" s="234" t="s">
        <v>0</v>
      </c>
      <c r="F413" s="235">
        <v>1</v>
      </c>
      <c r="G413" s="236">
        <f>0.25+0.2+0.2</f>
        <v>0.65</v>
      </c>
      <c r="H413" s="236"/>
      <c r="I413" s="236">
        <v>4.25</v>
      </c>
      <c r="J413" s="235">
        <v>1</v>
      </c>
      <c r="K413" s="237"/>
      <c r="L413" s="237">
        <f t="shared" si="19"/>
        <v>2.7625000000000002</v>
      </c>
      <c r="M413" s="111"/>
      <c r="N413" s="111"/>
      <c r="O413" s="111"/>
      <c r="P413" s="111"/>
    </row>
    <row r="414" spans="3:16" x14ac:dyDescent="0.3">
      <c r="C414" s="114"/>
      <c r="D414" s="233" t="s">
        <v>780</v>
      </c>
      <c r="E414" s="234" t="s">
        <v>0</v>
      </c>
      <c r="F414" s="235">
        <v>1</v>
      </c>
      <c r="G414" s="236">
        <f>0.1+0.2</f>
        <v>0.30000000000000004</v>
      </c>
      <c r="H414" s="236"/>
      <c r="I414" s="236">
        <v>4.25</v>
      </c>
      <c r="J414" s="235">
        <v>1</v>
      </c>
      <c r="K414" s="237"/>
      <c r="L414" s="237">
        <f t="shared" si="19"/>
        <v>1.2750000000000001</v>
      </c>
      <c r="M414" s="111"/>
      <c r="N414" s="111"/>
      <c r="O414" s="111"/>
      <c r="P414" s="111"/>
    </row>
    <row r="415" spans="3:16" x14ac:dyDescent="0.3">
      <c r="C415" s="114"/>
      <c r="D415" s="233" t="s">
        <v>781</v>
      </c>
      <c r="E415" s="234" t="s">
        <v>0</v>
      </c>
      <c r="F415" s="235">
        <v>1</v>
      </c>
      <c r="G415" s="236">
        <f>0.1+0.2+0.2</f>
        <v>0.5</v>
      </c>
      <c r="H415" s="236"/>
      <c r="I415" s="236">
        <v>2.2000000000000002</v>
      </c>
      <c r="J415" s="235">
        <v>1</v>
      </c>
      <c r="K415" s="237"/>
      <c r="L415" s="237">
        <f t="shared" si="19"/>
        <v>1.1000000000000001</v>
      </c>
      <c r="M415" s="111"/>
      <c r="N415" s="111"/>
      <c r="O415" s="111"/>
      <c r="P415" s="111"/>
    </row>
    <row r="416" spans="3:16" x14ac:dyDescent="0.3">
      <c r="C416" s="114"/>
      <c r="D416" s="233" t="s">
        <v>782</v>
      </c>
      <c r="E416" s="234" t="s">
        <v>0</v>
      </c>
      <c r="F416" s="235">
        <v>1</v>
      </c>
      <c r="G416" s="236">
        <f>0.1+0.2+0.2</f>
        <v>0.5</v>
      </c>
      <c r="H416" s="236"/>
      <c r="I416" s="236">
        <v>5.63</v>
      </c>
      <c r="J416" s="235">
        <v>1</v>
      </c>
      <c r="K416" s="237"/>
      <c r="L416" s="237">
        <f t="shared" si="19"/>
        <v>2.8149999999999999</v>
      </c>
      <c r="M416" s="111"/>
      <c r="N416" s="111"/>
      <c r="O416" s="111"/>
      <c r="P416" s="111"/>
    </row>
    <row r="417" spans="3:16" x14ac:dyDescent="0.3">
      <c r="C417" s="114"/>
      <c r="D417" s="233" t="s">
        <v>783</v>
      </c>
      <c r="E417" s="234" t="s">
        <v>0</v>
      </c>
      <c r="F417" s="235">
        <v>1</v>
      </c>
      <c r="G417" s="236">
        <f>0.25+0.2+0.2</f>
        <v>0.65</v>
      </c>
      <c r="H417" s="236"/>
      <c r="I417" s="236">
        <v>1.2</v>
      </c>
      <c r="J417" s="235">
        <v>1</v>
      </c>
      <c r="K417" s="237"/>
      <c r="L417" s="237">
        <f t="shared" si="19"/>
        <v>0.78</v>
      </c>
      <c r="M417" s="111"/>
      <c r="N417" s="111"/>
      <c r="O417" s="111"/>
      <c r="P417" s="111"/>
    </row>
    <row r="418" spans="3:16" x14ac:dyDescent="0.3">
      <c r="C418" s="114"/>
      <c r="D418" s="233"/>
      <c r="E418" s="234" t="s">
        <v>0</v>
      </c>
      <c r="F418" s="235">
        <v>1</v>
      </c>
      <c r="G418" s="236">
        <f>0.1+0.2+0.2</f>
        <v>0.5</v>
      </c>
      <c r="H418" s="236"/>
      <c r="I418" s="236">
        <v>1</v>
      </c>
      <c r="J418" s="235">
        <v>1</v>
      </c>
      <c r="K418" s="237"/>
      <c r="L418" s="237">
        <f t="shared" si="19"/>
        <v>0.5</v>
      </c>
      <c r="M418" s="111"/>
      <c r="N418" s="111"/>
      <c r="O418" s="111"/>
      <c r="P418" s="111"/>
    </row>
    <row r="419" spans="3:16" x14ac:dyDescent="0.3">
      <c r="C419" s="114"/>
      <c r="D419" s="233" t="s">
        <v>784</v>
      </c>
      <c r="E419" s="234" t="s">
        <v>0</v>
      </c>
      <c r="F419" s="235">
        <v>1</v>
      </c>
      <c r="G419" s="236">
        <f>0.1+0.2+0.2</f>
        <v>0.5</v>
      </c>
      <c r="H419" s="236"/>
      <c r="I419" s="236">
        <v>5.69</v>
      </c>
      <c r="J419" s="235">
        <v>1</v>
      </c>
      <c r="K419" s="237"/>
      <c r="L419" s="237">
        <f t="shared" si="19"/>
        <v>2.8450000000000002</v>
      </c>
      <c r="M419" s="111"/>
      <c r="N419" s="111"/>
      <c r="O419" s="111"/>
      <c r="P419" s="111"/>
    </row>
    <row r="420" spans="3:16" x14ac:dyDescent="0.3">
      <c r="C420" s="114"/>
      <c r="D420" s="233" t="s">
        <v>785</v>
      </c>
      <c r="E420" s="234" t="s">
        <v>0</v>
      </c>
      <c r="F420" s="235">
        <v>1</v>
      </c>
      <c r="G420" s="236">
        <f>0.25+0.2</f>
        <v>0.45</v>
      </c>
      <c r="H420" s="236"/>
      <c r="I420" s="236">
        <v>4.3499999999999996</v>
      </c>
      <c r="J420" s="235">
        <v>1</v>
      </c>
      <c r="K420" s="237"/>
      <c r="L420" s="237">
        <f t="shared" si="19"/>
        <v>1.9574999999999998</v>
      </c>
      <c r="M420" s="111"/>
      <c r="N420" s="111"/>
      <c r="O420" s="111"/>
      <c r="P420" s="111"/>
    </row>
    <row r="421" spans="3:16" x14ac:dyDescent="0.3">
      <c r="C421" s="114"/>
      <c r="D421" s="233" t="s">
        <v>786</v>
      </c>
      <c r="E421" s="234" t="s">
        <v>0</v>
      </c>
      <c r="F421" s="235">
        <v>1</v>
      </c>
      <c r="G421" s="236">
        <f>0.25+0.2+0.2</f>
        <v>0.65</v>
      </c>
      <c r="H421" s="236"/>
      <c r="I421" s="236">
        <v>3.84</v>
      </c>
      <c r="J421" s="235">
        <v>1</v>
      </c>
      <c r="K421" s="237"/>
      <c r="L421" s="237">
        <f t="shared" si="19"/>
        <v>2.496</v>
      </c>
      <c r="M421" s="111"/>
      <c r="N421" s="111"/>
      <c r="O421" s="111"/>
      <c r="P421" s="111"/>
    </row>
    <row r="422" spans="3:16" x14ac:dyDescent="0.3">
      <c r="C422" s="114"/>
      <c r="D422" s="233"/>
      <c r="E422" s="234" t="s">
        <v>0</v>
      </c>
      <c r="F422" s="235">
        <v>1</v>
      </c>
      <c r="G422" s="236">
        <f>0.1+0.2+0.2</f>
        <v>0.5</v>
      </c>
      <c r="H422" s="236"/>
      <c r="I422" s="236">
        <v>0.51</v>
      </c>
      <c r="J422" s="235">
        <v>1</v>
      </c>
      <c r="K422" s="237"/>
      <c r="L422" s="237">
        <f t="shared" si="19"/>
        <v>0.255</v>
      </c>
      <c r="M422" s="111"/>
      <c r="N422" s="111"/>
      <c r="O422" s="111"/>
      <c r="P422" s="111"/>
    </row>
    <row r="423" spans="3:16" x14ac:dyDescent="0.3">
      <c r="C423" s="114"/>
      <c r="D423" s="233" t="s">
        <v>787</v>
      </c>
      <c r="E423" s="234" t="s">
        <v>0</v>
      </c>
      <c r="F423" s="235">
        <v>1</v>
      </c>
      <c r="G423" s="236">
        <f>0.1+0.2</f>
        <v>0.30000000000000004</v>
      </c>
      <c r="H423" s="236"/>
      <c r="I423" s="236">
        <v>2.2999999999999998</v>
      </c>
      <c r="J423" s="235">
        <v>1</v>
      </c>
      <c r="K423" s="237"/>
      <c r="L423" s="237">
        <f t="shared" si="19"/>
        <v>0.69000000000000006</v>
      </c>
      <c r="M423" s="111"/>
      <c r="N423" s="111"/>
      <c r="O423" s="111"/>
      <c r="P423" s="111"/>
    </row>
    <row r="424" spans="3:16" x14ac:dyDescent="0.3">
      <c r="C424" s="114"/>
      <c r="D424" s="233"/>
      <c r="E424" s="234" t="s">
        <v>0</v>
      </c>
      <c r="F424" s="235">
        <v>1</v>
      </c>
      <c r="G424" s="236">
        <f>0.1+0.2</f>
        <v>0.30000000000000004</v>
      </c>
      <c r="H424" s="236"/>
      <c r="I424" s="236">
        <v>0.5</v>
      </c>
      <c r="J424" s="235">
        <v>1</v>
      </c>
      <c r="K424" s="237"/>
      <c r="L424" s="237">
        <f t="shared" si="19"/>
        <v>0.15000000000000002</v>
      </c>
      <c r="M424" s="111"/>
      <c r="N424" s="111"/>
      <c r="O424" s="111"/>
      <c r="P424" s="111"/>
    </row>
    <row r="425" spans="3:16" x14ac:dyDescent="0.3">
      <c r="C425" s="114"/>
      <c r="D425" s="233"/>
      <c r="E425" s="234" t="s">
        <v>0</v>
      </c>
      <c r="F425" s="235">
        <v>1</v>
      </c>
      <c r="G425" s="236">
        <f>0.25+0.2+0.2</f>
        <v>0.65</v>
      </c>
      <c r="H425" s="236"/>
      <c r="I425" s="236">
        <v>1.55</v>
      </c>
      <c r="J425" s="235">
        <v>1</v>
      </c>
      <c r="K425" s="237"/>
      <c r="L425" s="237">
        <f t="shared" si="19"/>
        <v>1.0075000000000001</v>
      </c>
      <c r="M425" s="111"/>
      <c r="N425" s="111"/>
      <c r="O425" s="111"/>
      <c r="P425" s="111"/>
    </row>
    <row r="426" spans="3:16" x14ac:dyDescent="0.3">
      <c r="C426" s="114"/>
      <c r="D426" s="233" t="s">
        <v>788</v>
      </c>
      <c r="E426" s="234" t="s">
        <v>0</v>
      </c>
      <c r="F426" s="235">
        <v>1</v>
      </c>
      <c r="G426" s="236">
        <f>0.25+0.2+0.2</f>
        <v>0.65</v>
      </c>
      <c r="H426" s="236"/>
      <c r="I426" s="236">
        <v>2.2000000000000002</v>
      </c>
      <c r="J426" s="235">
        <v>1</v>
      </c>
      <c r="K426" s="237"/>
      <c r="L426" s="237">
        <f t="shared" si="19"/>
        <v>1.4300000000000002</v>
      </c>
      <c r="M426" s="111"/>
      <c r="N426" s="111"/>
      <c r="O426" s="111"/>
      <c r="P426" s="111"/>
    </row>
    <row r="427" spans="3:16" x14ac:dyDescent="0.3">
      <c r="C427" s="114"/>
      <c r="D427" s="233" t="s">
        <v>789</v>
      </c>
      <c r="E427" s="234" t="s">
        <v>0</v>
      </c>
      <c r="F427" s="235">
        <v>1</v>
      </c>
      <c r="G427" s="236">
        <f>0.25+0.2+0.2</f>
        <v>0.65</v>
      </c>
      <c r="H427" s="236"/>
      <c r="I427" s="236">
        <v>5.69</v>
      </c>
      <c r="J427" s="235">
        <v>1</v>
      </c>
      <c r="K427" s="237"/>
      <c r="L427" s="237">
        <f t="shared" si="19"/>
        <v>3.6985000000000006</v>
      </c>
      <c r="M427" s="111"/>
      <c r="N427" s="111"/>
      <c r="O427" s="111"/>
      <c r="P427" s="111"/>
    </row>
    <row r="428" spans="3:16" x14ac:dyDescent="0.3">
      <c r="C428" s="114"/>
      <c r="D428" s="233" t="s">
        <v>790</v>
      </c>
      <c r="E428" s="234" t="s">
        <v>0</v>
      </c>
      <c r="F428" s="235">
        <v>1</v>
      </c>
      <c r="G428" s="236">
        <f>0.25+0.2</f>
        <v>0.45</v>
      </c>
      <c r="H428" s="236"/>
      <c r="I428" s="236">
        <v>3.81</v>
      </c>
      <c r="J428" s="235">
        <v>1</v>
      </c>
      <c r="K428" s="237"/>
      <c r="L428" s="237">
        <f t="shared" si="19"/>
        <v>1.7145000000000001</v>
      </c>
      <c r="M428" s="111"/>
      <c r="N428" s="111"/>
      <c r="O428" s="111"/>
      <c r="P428" s="111"/>
    </row>
    <row r="429" spans="3:16" x14ac:dyDescent="0.3">
      <c r="C429" s="114"/>
      <c r="D429" s="233" t="s">
        <v>791</v>
      </c>
      <c r="E429" s="234" t="s">
        <v>0</v>
      </c>
      <c r="F429" s="235">
        <v>1</v>
      </c>
      <c r="G429" s="236">
        <f>0.25+0.2+0.2</f>
        <v>0.65</v>
      </c>
      <c r="H429" s="236"/>
      <c r="I429" s="236">
        <v>3.81</v>
      </c>
      <c r="J429" s="235">
        <v>1</v>
      </c>
      <c r="K429" s="237"/>
      <c r="L429" s="237">
        <f t="shared" si="19"/>
        <v>2.4765000000000001</v>
      </c>
      <c r="M429" s="111"/>
      <c r="N429" s="111"/>
      <c r="O429" s="111"/>
      <c r="P429" s="111"/>
    </row>
    <row r="430" spans="3:16" x14ac:dyDescent="0.3">
      <c r="C430" s="114"/>
      <c r="D430" s="233" t="s">
        <v>792</v>
      </c>
      <c r="E430" s="234" t="s">
        <v>0</v>
      </c>
      <c r="F430" s="235">
        <v>1</v>
      </c>
      <c r="G430" s="236">
        <f>0.1+0.2</f>
        <v>0.30000000000000004</v>
      </c>
      <c r="H430" s="236"/>
      <c r="I430" s="236">
        <v>2.2999999999999998</v>
      </c>
      <c r="J430" s="235">
        <v>1</v>
      </c>
      <c r="K430" s="237"/>
      <c r="L430" s="237">
        <f t="shared" si="19"/>
        <v>0.69000000000000006</v>
      </c>
      <c r="M430" s="111"/>
      <c r="N430" s="111"/>
      <c r="O430" s="111"/>
      <c r="P430" s="111"/>
    </row>
    <row r="431" spans="3:16" x14ac:dyDescent="0.3">
      <c r="C431" s="114"/>
      <c r="D431" s="233"/>
      <c r="E431" s="234" t="s">
        <v>0</v>
      </c>
      <c r="F431" s="235">
        <v>1</v>
      </c>
      <c r="G431" s="236">
        <f>0.1+0.2</f>
        <v>0.30000000000000004</v>
      </c>
      <c r="H431" s="236"/>
      <c r="I431" s="236">
        <v>1.5</v>
      </c>
      <c r="J431" s="235">
        <v>1</v>
      </c>
      <c r="K431" s="237"/>
      <c r="L431" s="237">
        <f t="shared" si="19"/>
        <v>0.45000000000000007</v>
      </c>
      <c r="M431" s="111"/>
      <c r="N431" s="111"/>
      <c r="O431" s="111"/>
      <c r="P431" s="111"/>
    </row>
    <row r="432" spans="3:16" x14ac:dyDescent="0.3">
      <c r="C432" s="114"/>
      <c r="D432" s="233" t="s">
        <v>793</v>
      </c>
      <c r="E432" s="234" t="s">
        <v>0</v>
      </c>
      <c r="F432" s="235">
        <v>1</v>
      </c>
      <c r="G432" s="236">
        <f>0.25+0.2+0.2</f>
        <v>0.65</v>
      </c>
      <c r="H432" s="236"/>
      <c r="I432" s="236">
        <v>2.1</v>
      </c>
      <c r="J432" s="235">
        <v>1</v>
      </c>
      <c r="K432" s="237"/>
      <c r="L432" s="237">
        <f t="shared" si="19"/>
        <v>1.3650000000000002</v>
      </c>
      <c r="M432" s="111"/>
      <c r="N432" s="111"/>
      <c r="O432" s="111"/>
      <c r="P432" s="111"/>
    </row>
    <row r="433" spans="3:16" x14ac:dyDescent="0.3">
      <c r="C433" s="114"/>
      <c r="D433" s="233" t="s">
        <v>794</v>
      </c>
      <c r="E433" s="234" t="s">
        <v>0</v>
      </c>
      <c r="F433" s="235">
        <v>1</v>
      </c>
      <c r="G433" s="236">
        <f>0.25+0.2+0.2</f>
        <v>0.65</v>
      </c>
      <c r="H433" s="236"/>
      <c r="I433" s="236">
        <v>5.69</v>
      </c>
      <c r="J433" s="235">
        <v>1</v>
      </c>
      <c r="K433" s="237"/>
      <c r="L433" s="237">
        <f t="shared" si="19"/>
        <v>3.6985000000000006</v>
      </c>
      <c r="M433" s="111"/>
      <c r="N433" s="111"/>
      <c r="O433" s="111"/>
      <c r="P433" s="111"/>
    </row>
    <row r="434" spans="3:16" x14ac:dyDescent="0.3">
      <c r="C434" s="114"/>
      <c r="D434" s="233" t="s">
        <v>795</v>
      </c>
      <c r="E434" s="234" t="s">
        <v>0</v>
      </c>
      <c r="F434" s="235">
        <v>1</v>
      </c>
      <c r="G434" s="236">
        <f>0.25+0.2</f>
        <v>0.45</v>
      </c>
      <c r="H434" s="236"/>
      <c r="I434" s="236">
        <v>4.34</v>
      </c>
      <c r="J434" s="235">
        <v>1</v>
      </c>
      <c r="K434" s="237"/>
      <c r="L434" s="237">
        <f t="shared" si="19"/>
        <v>1.9530000000000001</v>
      </c>
      <c r="M434" s="111"/>
      <c r="N434" s="111"/>
      <c r="O434" s="111"/>
      <c r="P434" s="111"/>
    </row>
    <row r="435" spans="3:16" x14ac:dyDescent="0.3">
      <c r="C435" s="114"/>
      <c r="D435" s="233" t="s">
        <v>796</v>
      </c>
      <c r="E435" s="234" t="s">
        <v>0</v>
      </c>
      <c r="F435" s="235">
        <v>1</v>
      </c>
      <c r="G435" s="236">
        <f>0.1+0.2+0.2</f>
        <v>0.5</v>
      </c>
      <c r="H435" s="236"/>
      <c r="I435" s="236">
        <v>1.47</v>
      </c>
      <c r="J435" s="235">
        <v>1</v>
      </c>
      <c r="K435" s="237"/>
      <c r="L435" s="237">
        <f t="shared" si="19"/>
        <v>0.73499999999999999</v>
      </c>
      <c r="M435" s="111"/>
      <c r="N435" s="111"/>
      <c r="O435" s="111"/>
      <c r="P435" s="111"/>
    </row>
    <row r="436" spans="3:16" x14ac:dyDescent="0.3">
      <c r="C436" s="114"/>
      <c r="D436" s="233"/>
      <c r="E436" s="234" t="s">
        <v>0</v>
      </c>
      <c r="F436" s="235">
        <v>1</v>
      </c>
      <c r="G436" s="236">
        <f>0.25+0.2+0.2</f>
        <v>0.65</v>
      </c>
      <c r="H436" s="236"/>
      <c r="I436" s="236">
        <v>2.87</v>
      </c>
      <c r="J436" s="235">
        <v>1</v>
      </c>
      <c r="K436" s="237"/>
      <c r="L436" s="237">
        <f t="shared" si="19"/>
        <v>1.8655000000000002</v>
      </c>
      <c r="M436" s="111"/>
      <c r="N436" s="111"/>
      <c r="O436" s="111"/>
      <c r="P436" s="111"/>
    </row>
    <row r="437" spans="3:16" x14ac:dyDescent="0.3">
      <c r="C437" s="114"/>
      <c r="D437" s="233" t="s">
        <v>797</v>
      </c>
      <c r="E437" s="234" t="s">
        <v>0</v>
      </c>
      <c r="F437" s="235">
        <v>1</v>
      </c>
      <c r="G437" s="236">
        <f>0.1+0.2</f>
        <v>0.30000000000000004</v>
      </c>
      <c r="H437" s="236"/>
      <c r="I437" s="236">
        <v>1.47</v>
      </c>
      <c r="J437" s="235">
        <v>1</v>
      </c>
      <c r="K437" s="237"/>
      <c r="L437" s="237">
        <f t="shared" si="19"/>
        <v>0.44100000000000006</v>
      </c>
      <c r="M437" s="111"/>
      <c r="N437" s="111"/>
      <c r="O437" s="111"/>
      <c r="P437" s="111"/>
    </row>
    <row r="438" spans="3:16" x14ac:dyDescent="0.3">
      <c r="C438" s="114"/>
      <c r="D438" s="280"/>
      <c r="E438" s="234" t="s">
        <v>0</v>
      </c>
      <c r="F438" s="235">
        <v>1</v>
      </c>
      <c r="G438" s="236">
        <f>0.1+0.2</f>
        <v>0.30000000000000004</v>
      </c>
      <c r="H438" s="236"/>
      <c r="I438" s="236">
        <v>1.33</v>
      </c>
      <c r="J438" s="235">
        <v>1</v>
      </c>
      <c r="K438" s="237"/>
      <c r="L438" s="237">
        <f t="shared" si="19"/>
        <v>0.39900000000000008</v>
      </c>
      <c r="M438" s="111"/>
      <c r="N438" s="111"/>
      <c r="O438" s="111"/>
      <c r="P438" s="111"/>
    </row>
    <row r="439" spans="3:16" x14ac:dyDescent="0.3">
      <c r="C439" s="114"/>
      <c r="D439" s="280"/>
      <c r="E439" s="234" t="s">
        <v>0</v>
      </c>
      <c r="F439" s="235">
        <v>1</v>
      </c>
      <c r="G439" s="236">
        <f>0.25+0.2</f>
        <v>0.45</v>
      </c>
      <c r="H439" s="236"/>
      <c r="I439" s="236">
        <v>1.56</v>
      </c>
      <c r="J439" s="235">
        <v>1</v>
      </c>
      <c r="K439" s="237"/>
      <c r="L439" s="237">
        <f t="shared" si="19"/>
        <v>0.70200000000000007</v>
      </c>
      <c r="M439" s="111"/>
      <c r="N439" s="111"/>
      <c r="O439" s="111"/>
      <c r="P439" s="111"/>
    </row>
    <row r="440" spans="3:16" x14ac:dyDescent="0.3">
      <c r="C440" s="114"/>
      <c r="D440" s="233" t="s">
        <v>798</v>
      </c>
      <c r="E440" s="234" t="s">
        <v>0</v>
      </c>
      <c r="F440" s="235">
        <v>1</v>
      </c>
      <c r="G440" s="236">
        <f>0.25+0.2+0.2</f>
        <v>0.65</v>
      </c>
      <c r="H440" s="236"/>
      <c r="I440" s="236">
        <v>2.1</v>
      </c>
      <c r="J440" s="235">
        <v>1</v>
      </c>
      <c r="K440" s="237"/>
      <c r="L440" s="237">
        <f t="shared" si="19"/>
        <v>1.3650000000000002</v>
      </c>
      <c r="M440" s="111"/>
      <c r="N440" s="111"/>
      <c r="O440" s="111"/>
      <c r="P440" s="111"/>
    </row>
    <row r="441" spans="3:16" x14ac:dyDescent="0.3">
      <c r="C441" s="114"/>
      <c r="D441" s="233" t="s">
        <v>799</v>
      </c>
      <c r="E441" s="234" t="s">
        <v>0</v>
      </c>
      <c r="F441" s="235">
        <v>1</v>
      </c>
      <c r="G441" s="236">
        <f>0.25+0.2+0.2</f>
        <v>0.65</v>
      </c>
      <c r="H441" s="236"/>
      <c r="I441" s="236">
        <v>1.2</v>
      </c>
      <c r="J441" s="235">
        <v>1</v>
      </c>
      <c r="K441" s="237"/>
      <c r="L441" s="237">
        <f t="shared" si="19"/>
        <v>0.78</v>
      </c>
      <c r="M441" s="111"/>
      <c r="N441" s="111"/>
      <c r="O441" s="111"/>
      <c r="P441" s="111"/>
    </row>
    <row r="442" spans="3:16" x14ac:dyDescent="0.3">
      <c r="C442" s="114"/>
      <c r="D442" s="233"/>
      <c r="E442" s="234" t="s">
        <v>0</v>
      </c>
      <c r="F442" s="235">
        <v>1</v>
      </c>
      <c r="G442" s="236">
        <f>0.1+0.2+0.2</f>
        <v>0.5</v>
      </c>
      <c r="H442" s="236"/>
      <c r="I442" s="236">
        <v>4.49</v>
      </c>
      <c r="J442" s="235">
        <v>1</v>
      </c>
      <c r="K442" s="237"/>
      <c r="L442" s="237">
        <f t="shared" si="19"/>
        <v>2.2450000000000001</v>
      </c>
      <c r="M442" s="111"/>
      <c r="N442" s="111"/>
      <c r="O442" s="111"/>
      <c r="P442" s="111"/>
    </row>
    <row r="443" spans="3:16" x14ac:dyDescent="0.3">
      <c r="C443" s="114"/>
      <c r="D443" s="233" t="s">
        <v>800</v>
      </c>
      <c r="E443" s="234" t="s">
        <v>0</v>
      </c>
      <c r="F443" s="235">
        <v>1</v>
      </c>
      <c r="G443" s="236">
        <f>0.25+0.2</f>
        <v>0.45</v>
      </c>
      <c r="H443" s="236"/>
      <c r="I443" s="236">
        <v>3.78</v>
      </c>
      <c r="J443" s="235">
        <v>1</v>
      </c>
      <c r="K443" s="237"/>
      <c r="L443" s="237">
        <f t="shared" si="19"/>
        <v>1.7009999999999998</v>
      </c>
      <c r="M443" s="111"/>
      <c r="N443" s="111"/>
      <c r="O443" s="111"/>
      <c r="P443" s="111"/>
    </row>
    <row r="444" spans="3:16" x14ac:dyDescent="0.3">
      <c r="C444" s="114"/>
      <c r="D444" s="233" t="s">
        <v>801</v>
      </c>
      <c r="E444" s="234" t="s">
        <v>0</v>
      </c>
      <c r="F444" s="235">
        <v>1</v>
      </c>
      <c r="G444" s="236">
        <f>0.25+0.2+0.2</f>
        <v>0.65</v>
      </c>
      <c r="H444" s="236"/>
      <c r="I444" s="236">
        <f>1.5+2.28</f>
        <v>3.78</v>
      </c>
      <c r="J444" s="235">
        <v>1</v>
      </c>
      <c r="K444" s="237"/>
      <c r="L444" s="237">
        <f t="shared" si="19"/>
        <v>2.4569999999999999</v>
      </c>
      <c r="M444" s="111"/>
      <c r="N444" s="111"/>
      <c r="O444" s="111"/>
      <c r="P444" s="111"/>
    </row>
    <row r="445" spans="3:16" x14ac:dyDescent="0.3">
      <c r="C445" s="114"/>
      <c r="D445" s="233" t="s">
        <v>802</v>
      </c>
      <c r="E445" s="234" t="s">
        <v>0</v>
      </c>
      <c r="F445" s="235">
        <v>1</v>
      </c>
      <c r="G445" s="236">
        <f>0.1+0.2</f>
        <v>0.30000000000000004</v>
      </c>
      <c r="H445" s="236"/>
      <c r="I445" s="236">
        <v>2.2799999999999998</v>
      </c>
      <c r="J445" s="235">
        <v>1</v>
      </c>
      <c r="K445" s="237"/>
      <c r="L445" s="237">
        <f t="shared" si="19"/>
        <v>0.68400000000000005</v>
      </c>
      <c r="M445" s="111"/>
      <c r="N445" s="111"/>
      <c r="O445" s="111"/>
      <c r="P445" s="111"/>
    </row>
    <row r="446" spans="3:16" x14ac:dyDescent="0.3">
      <c r="C446" s="114"/>
      <c r="D446" s="280"/>
      <c r="E446" s="234" t="s">
        <v>0</v>
      </c>
      <c r="F446" s="235">
        <v>1</v>
      </c>
      <c r="G446" s="236">
        <f>0.25+0.2</f>
        <v>0.45</v>
      </c>
      <c r="H446" s="236"/>
      <c r="I446" s="236">
        <v>1.5</v>
      </c>
      <c r="J446" s="235">
        <v>1</v>
      </c>
      <c r="K446" s="237"/>
      <c r="L446" s="237">
        <f t="shared" si="19"/>
        <v>0.67500000000000004</v>
      </c>
      <c r="M446" s="111"/>
      <c r="N446" s="111"/>
      <c r="O446" s="111"/>
      <c r="P446" s="111"/>
    </row>
    <row r="447" spans="3:16" x14ac:dyDescent="0.3">
      <c r="C447" s="114"/>
      <c r="D447" s="233" t="s">
        <v>803</v>
      </c>
      <c r="E447" s="234" t="s">
        <v>0</v>
      </c>
      <c r="F447" s="235">
        <v>1</v>
      </c>
      <c r="G447" s="236">
        <f>0.25+0.2+0.2</f>
        <v>0.65</v>
      </c>
      <c r="H447" s="236"/>
      <c r="I447" s="236">
        <v>2.2000000000000002</v>
      </c>
      <c r="J447" s="235">
        <v>1</v>
      </c>
      <c r="K447" s="237"/>
      <c r="L447" s="237">
        <f t="shared" si="19"/>
        <v>1.4300000000000002</v>
      </c>
      <c r="M447" s="111"/>
      <c r="N447" s="111"/>
      <c r="O447" s="111"/>
      <c r="P447" s="111"/>
    </row>
    <row r="448" spans="3:16" x14ac:dyDescent="0.3">
      <c r="C448" s="114"/>
      <c r="D448" s="233" t="s">
        <v>804</v>
      </c>
      <c r="E448" s="234" t="s">
        <v>0</v>
      </c>
      <c r="F448" s="235">
        <v>1</v>
      </c>
      <c r="G448" s="236">
        <f>0.25+0.2+0.2</f>
        <v>0.65</v>
      </c>
      <c r="H448" s="236"/>
      <c r="I448" s="236">
        <v>5.69</v>
      </c>
      <c r="J448" s="235">
        <v>1</v>
      </c>
      <c r="K448" s="237"/>
      <c r="L448" s="237">
        <f t="shared" si="19"/>
        <v>3.6985000000000006</v>
      </c>
      <c r="M448" s="111"/>
      <c r="N448" s="111"/>
      <c r="O448" s="111"/>
      <c r="P448" s="111"/>
    </row>
    <row r="449" spans="3:16" x14ac:dyDescent="0.3">
      <c r="C449" s="114"/>
      <c r="D449" s="233" t="s">
        <v>805</v>
      </c>
      <c r="E449" s="234" t="s">
        <v>0</v>
      </c>
      <c r="F449" s="235">
        <v>1</v>
      </c>
      <c r="G449" s="236">
        <f>0.25+0.2</f>
        <v>0.45</v>
      </c>
      <c r="H449" s="236"/>
      <c r="I449" s="236">
        <v>4.3600000000000003</v>
      </c>
      <c r="J449" s="235">
        <v>1</v>
      </c>
      <c r="K449" s="237"/>
      <c r="L449" s="237">
        <f t="shared" si="19"/>
        <v>1.9620000000000002</v>
      </c>
      <c r="M449" s="111"/>
      <c r="N449" s="111"/>
      <c r="O449" s="111"/>
      <c r="P449" s="111"/>
    </row>
    <row r="450" spans="3:16" x14ac:dyDescent="0.3">
      <c r="C450" s="114"/>
      <c r="D450" s="233" t="s">
        <v>806</v>
      </c>
      <c r="E450" s="234" t="s">
        <v>0</v>
      </c>
      <c r="F450" s="235">
        <v>1</v>
      </c>
      <c r="G450" s="236">
        <f>0.25+0.2+0.2</f>
        <v>0.65</v>
      </c>
      <c r="H450" s="236"/>
      <c r="I450" s="236">
        <f>1.63+1.53</f>
        <v>3.16</v>
      </c>
      <c r="J450" s="235">
        <v>1</v>
      </c>
      <c r="K450" s="237"/>
      <c r="L450" s="237">
        <f t="shared" si="19"/>
        <v>2.0540000000000003</v>
      </c>
      <c r="M450" s="111"/>
      <c r="N450" s="111"/>
      <c r="O450" s="111"/>
      <c r="P450" s="111"/>
    </row>
    <row r="451" spans="3:16" x14ac:dyDescent="0.3">
      <c r="C451" s="114"/>
      <c r="D451" s="233" t="s">
        <v>807</v>
      </c>
      <c r="E451" s="234" t="s">
        <v>0</v>
      </c>
      <c r="F451" s="235">
        <v>1</v>
      </c>
      <c r="G451" s="236">
        <f>0.1+0.2</f>
        <v>0.30000000000000004</v>
      </c>
      <c r="H451" s="236"/>
      <c r="I451" s="236">
        <v>1.63</v>
      </c>
      <c r="J451" s="235">
        <v>1</v>
      </c>
      <c r="K451" s="237"/>
      <c r="L451" s="237">
        <f t="shared" si="19"/>
        <v>0.48900000000000005</v>
      </c>
      <c r="M451" s="111"/>
      <c r="N451" s="111"/>
      <c r="O451" s="111"/>
      <c r="P451" s="111"/>
    </row>
    <row r="452" spans="3:16" x14ac:dyDescent="0.3">
      <c r="C452" s="114"/>
      <c r="D452" s="280"/>
      <c r="E452" s="234" t="s">
        <v>0</v>
      </c>
      <c r="F452" s="235">
        <v>1</v>
      </c>
      <c r="G452" s="236">
        <f>0.25+0.2</f>
        <v>0.45</v>
      </c>
      <c r="H452" s="236"/>
      <c r="I452" s="236">
        <v>1.53</v>
      </c>
      <c r="J452" s="235">
        <v>1</v>
      </c>
      <c r="K452" s="237"/>
      <c r="L452" s="237">
        <f t="shared" si="19"/>
        <v>0.6885</v>
      </c>
      <c r="M452" s="111"/>
      <c r="N452" s="111"/>
      <c r="O452" s="111"/>
      <c r="P452" s="111"/>
    </row>
    <row r="453" spans="3:16" x14ac:dyDescent="0.3">
      <c r="C453" s="114"/>
      <c r="D453" s="233" t="s">
        <v>808</v>
      </c>
      <c r="E453" s="234" t="s">
        <v>0</v>
      </c>
      <c r="F453" s="235">
        <v>1</v>
      </c>
      <c r="G453" s="236">
        <f>0.25+0.2+0.2</f>
        <v>0.65</v>
      </c>
      <c r="H453" s="236"/>
      <c r="I453" s="236">
        <v>2.2000000000000002</v>
      </c>
      <c r="J453" s="235">
        <v>1</v>
      </c>
      <c r="K453" s="237"/>
      <c r="L453" s="237">
        <f t="shared" si="19"/>
        <v>1.4300000000000002</v>
      </c>
      <c r="M453" s="111"/>
      <c r="N453" s="111"/>
      <c r="O453" s="111"/>
      <c r="P453" s="111"/>
    </row>
    <row r="454" spans="3:16" x14ac:dyDescent="0.3">
      <c r="C454" s="114"/>
      <c r="D454" s="233" t="s">
        <v>809</v>
      </c>
      <c r="E454" s="234" t="s">
        <v>0</v>
      </c>
      <c r="F454" s="235">
        <v>1</v>
      </c>
      <c r="G454" s="236">
        <f>0.25+0.2+0.2</f>
        <v>0.65</v>
      </c>
      <c r="H454" s="236"/>
      <c r="I454" s="236">
        <v>5.69</v>
      </c>
      <c r="J454" s="235">
        <v>1</v>
      </c>
      <c r="K454" s="237"/>
      <c r="L454" s="237">
        <f t="shared" si="19"/>
        <v>3.6985000000000006</v>
      </c>
      <c r="M454" s="111"/>
      <c r="N454" s="111"/>
      <c r="O454" s="111"/>
      <c r="P454" s="111"/>
    </row>
    <row r="455" spans="3:16" x14ac:dyDescent="0.3">
      <c r="C455" s="114"/>
      <c r="D455" s="233" t="s">
        <v>805</v>
      </c>
      <c r="E455" s="234" t="s">
        <v>0</v>
      </c>
      <c r="F455" s="235">
        <v>1</v>
      </c>
      <c r="G455" s="236">
        <f>0.25+0.2</f>
        <v>0.45</v>
      </c>
      <c r="H455" s="236"/>
      <c r="I455" s="236">
        <v>3.81</v>
      </c>
      <c r="J455" s="235">
        <v>1</v>
      </c>
      <c r="K455" s="237"/>
      <c r="L455" s="237">
        <f t="shared" si="19"/>
        <v>1.7145000000000001</v>
      </c>
      <c r="M455" s="111"/>
      <c r="N455" s="111"/>
      <c r="O455" s="111"/>
      <c r="P455" s="111"/>
    </row>
    <row r="456" spans="3:16" x14ac:dyDescent="0.3">
      <c r="C456" s="114"/>
      <c r="D456" s="233" t="s">
        <v>806</v>
      </c>
      <c r="E456" s="234" t="s">
        <v>0</v>
      </c>
      <c r="F456" s="235">
        <v>1</v>
      </c>
      <c r="G456" s="236">
        <f>0.25+0.2+0.2</f>
        <v>0.65</v>
      </c>
      <c r="H456" s="236"/>
      <c r="I456" s="236">
        <f>2.3+1.5</f>
        <v>3.8</v>
      </c>
      <c r="J456" s="235">
        <v>1</v>
      </c>
      <c r="K456" s="237"/>
      <c r="L456" s="237">
        <f t="shared" si="19"/>
        <v>2.4699999999999998</v>
      </c>
      <c r="M456" s="111"/>
      <c r="N456" s="111"/>
      <c r="O456" s="111"/>
      <c r="P456" s="111"/>
    </row>
    <row r="457" spans="3:16" x14ac:dyDescent="0.3">
      <c r="C457" s="114"/>
      <c r="D457" s="233" t="s">
        <v>807</v>
      </c>
      <c r="E457" s="234" t="s">
        <v>0</v>
      </c>
      <c r="F457" s="235">
        <v>1</v>
      </c>
      <c r="G457" s="236">
        <f>0.1+0.2</f>
        <v>0.30000000000000004</v>
      </c>
      <c r="H457" s="236"/>
      <c r="I457" s="236">
        <v>2.2999999999999998</v>
      </c>
      <c r="J457" s="235">
        <v>1</v>
      </c>
      <c r="K457" s="237"/>
      <c r="L457" s="237">
        <f t="shared" si="19"/>
        <v>0.69000000000000006</v>
      </c>
      <c r="M457" s="111"/>
      <c r="N457" s="111"/>
      <c r="O457" s="111"/>
      <c r="P457" s="111"/>
    </row>
    <row r="458" spans="3:16" x14ac:dyDescent="0.3">
      <c r="C458" s="114"/>
      <c r="D458" s="280"/>
      <c r="E458" s="234" t="s">
        <v>0</v>
      </c>
      <c r="F458" s="235">
        <v>1</v>
      </c>
      <c r="G458" s="236">
        <f>0.25+0.2</f>
        <v>0.45</v>
      </c>
      <c r="H458" s="236"/>
      <c r="I458" s="236">
        <v>1.5</v>
      </c>
      <c r="J458" s="235">
        <v>1</v>
      </c>
      <c r="K458" s="237"/>
      <c r="L458" s="237">
        <f t="shared" si="19"/>
        <v>0.67500000000000004</v>
      </c>
      <c r="M458" s="111"/>
      <c r="N458" s="111"/>
      <c r="O458" s="111"/>
      <c r="P458" s="111"/>
    </row>
    <row r="459" spans="3:16" x14ac:dyDescent="0.3">
      <c r="C459" s="114"/>
      <c r="D459" s="233" t="s">
        <v>810</v>
      </c>
      <c r="E459" s="234" t="s">
        <v>0</v>
      </c>
      <c r="F459" s="235">
        <v>1</v>
      </c>
      <c r="G459" s="236">
        <f>0.25+0.2+0.2</f>
        <v>0.65</v>
      </c>
      <c r="H459" s="236"/>
      <c r="I459" s="236">
        <v>2.2000000000000002</v>
      </c>
      <c r="J459" s="235">
        <v>1</v>
      </c>
      <c r="K459" s="237"/>
      <c r="L459" s="237">
        <f t="shared" si="19"/>
        <v>1.4300000000000002</v>
      </c>
      <c r="M459" s="111"/>
      <c r="N459" s="111"/>
      <c r="O459" s="111"/>
      <c r="P459" s="111"/>
    </row>
    <row r="460" spans="3:16" x14ac:dyDescent="0.3">
      <c r="C460" s="114"/>
      <c r="D460" s="233" t="s">
        <v>811</v>
      </c>
      <c r="E460" s="234" t="s">
        <v>0</v>
      </c>
      <c r="F460" s="235">
        <v>1</v>
      </c>
      <c r="G460" s="236">
        <f>0.1+0.2+0.2</f>
        <v>0.5</v>
      </c>
      <c r="H460" s="236"/>
      <c r="I460" s="236">
        <v>5.69</v>
      </c>
      <c r="J460" s="235">
        <v>1</v>
      </c>
      <c r="K460" s="237"/>
      <c r="L460" s="237">
        <f t="shared" si="19"/>
        <v>2.8450000000000002</v>
      </c>
      <c r="M460" s="111"/>
      <c r="N460" s="111"/>
      <c r="O460" s="111"/>
      <c r="P460" s="111"/>
    </row>
    <row r="461" spans="3:16" ht="14.4" x14ac:dyDescent="0.3">
      <c r="C461"/>
      <c r="D461" s="233" t="s">
        <v>812</v>
      </c>
      <c r="E461" s="234" t="s">
        <v>0</v>
      </c>
      <c r="F461" s="235">
        <v>1</v>
      </c>
      <c r="G461" s="236">
        <f>0.25+0.2</f>
        <v>0.45</v>
      </c>
      <c r="H461" s="236"/>
      <c r="I461" s="236">
        <v>3.7</v>
      </c>
      <c r="J461" s="235">
        <v>1</v>
      </c>
      <c r="K461" s="237"/>
      <c r="L461" s="237">
        <f t="shared" si="19"/>
        <v>1.665</v>
      </c>
      <c r="M461"/>
      <c r="N461"/>
      <c r="O461"/>
      <c r="P461"/>
    </row>
    <row r="462" spans="3:16" ht="14.4" x14ac:dyDescent="0.3">
      <c r="C462"/>
      <c r="D462" s="233" t="s">
        <v>813</v>
      </c>
      <c r="E462" s="234" t="s">
        <v>0</v>
      </c>
      <c r="F462" s="235">
        <v>1</v>
      </c>
      <c r="G462" s="236">
        <f>0.25+0.2+0.2</f>
        <v>0.65</v>
      </c>
      <c r="H462" s="236"/>
      <c r="I462" s="236">
        <v>2.5</v>
      </c>
      <c r="J462" s="235">
        <v>1</v>
      </c>
      <c r="K462" s="237"/>
      <c r="L462" s="237">
        <f t="shared" si="19"/>
        <v>1.625</v>
      </c>
      <c r="M462"/>
      <c r="N462"/>
      <c r="O462"/>
      <c r="P462"/>
    </row>
    <row r="463" spans="3:16" ht="14.4" x14ac:dyDescent="0.3">
      <c r="C463"/>
      <c r="D463" s="233" t="s">
        <v>814</v>
      </c>
      <c r="E463" s="234" t="s">
        <v>0</v>
      </c>
      <c r="F463" s="235">
        <v>1</v>
      </c>
      <c r="G463" s="236">
        <f>0.1+0.2</f>
        <v>0.30000000000000004</v>
      </c>
      <c r="H463" s="236"/>
      <c r="I463" s="236">
        <v>2.5</v>
      </c>
      <c r="J463" s="235">
        <v>1</v>
      </c>
      <c r="K463" s="237"/>
      <c r="L463" s="237">
        <f t="shared" si="19"/>
        <v>0.75000000000000011</v>
      </c>
      <c r="M463"/>
      <c r="N463"/>
      <c r="O463"/>
      <c r="P463"/>
    </row>
    <row r="464" spans="3:16" ht="14.4" x14ac:dyDescent="0.3">
      <c r="C464"/>
      <c r="D464" s="233" t="s">
        <v>815</v>
      </c>
      <c r="E464" s="234" t="s">
        <v>0</v>
      </c>
      <c r="F464" s="235">
        <v>1</v>
      </c>
      <c r="G464" s="236">
        <f>0.25+0.2</f>
        <v>0.45</v>
      </c>
      <c r="H464" s="236"/>
      <c r="I464" s="236">
        <v>2.2000000000000002</v>
      </c>
      <c r="J464" s="235">
        <v>1</v>
      </c>
      <c r="K464" s="237"/>
      <c r="L464" s="237">
        <f t="shared" si="19"/>
        <v>0.9900000000000001</v>
      </c>
      <c r="M464"/>
      <c r="N464"/>
      <c r="O464"/>
      <c r="P464"/>
    </row>
    <row r="465" spans="3:16" ht="14.4" x14ac:dyDescent="0.3">
      <c r="C465"/>
      <c r="D465" s="233" t="s">
        <v>816</v>
      </c>
      <c r="E465" s="234" t="s">
        <v>0</v>
      </c>
      <c r="F465" s="235">
        <v>1</v>
      </c>
      <c r="G465" s="236">
        <f>0.2</f>
        <v>0.2</v>
      </c>
      <c r="H465" s="236"/>
      <c r="I465" s="236">
        <v>1.66</v>
      </c>
      <c r="J465" s="235">
        <v>1</v>
      </c>
      <c r="K465" s="237"/>
      <c r="L465" s="237">
        <f t="shared" si="19"/>
        <v>0.33200000000000002</v>
      </c>
      <c r="M465"/>
      <c r="N465"/>
      <c r="O465"/>
      <c r="P465"/>
    </row>
    <row r="466" spans="3:16" ht="14.4" x14ac:dyDescent="0.3">
      <c r="C466"/>
      <c r="D466" s="233" t="s">
        <v>817</v>
      </c>
      <c r="E466" s="234" t="s">
        <v>0</v>
      </c>
      <c r="F466" s="235">
        <v>1</v>
      </c>
      <c r="G466" s="236">
        <v>0.2</v>
      </c>
      <c r="H466" s="236"/>
      <c r="I466" s="236">
        <v>1.63</v>
      </c>
      <c r="J466" s="235">
        <v>1</v>
      </c>
      <c r="K466" s="237"/>
      <c r="L466" s="237">
        <f t="shared" si="19"/>
        <v>0.32600000000000001</v>
      </c>
      <c r="M466"/>
      <c r="N466"/>
      <c r="O466"/>
      <c r="P466"/>
    </row>
    <row r="467" spans="3:16" ht="14.4" x14ac:dyDescent="0.3"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3:16" x14ac:dyDescent="0.3">
      <c r="C468" s="99" t="s">
        <v>1184</v>
      </c>
      <c r="D468" s="226" t="s">
        <v>420</v>
      </c>
      <c r="E468" s="132" t="s">
        <v>0</v>
      </c>
      <c r="F468" s="1"/>
      <c r="G468" s="2"/>
      <c r="H468" s="2"/>
      <c r="I468" s="206"/>
      <c r="J468" s="102"/>
      <c r="K468" s="103"/>
      <c r="L468" s="103"/>
      <c r="M468" s="103"/>
      <c r="N468" s="103"/>
      <c r="O468" s="103"/>
      <c r="P468" s="103">
        <f>SUM(L469:L529)</f>
        <v>73.382999999999996</v>
      </c>
    </row>
    <row r="469" spans="3:16" x14ac:dyDescent="0.3">
      <c r="C469" s="118"/>
      <c r="D469" s="253" t="s">
        <v>127</v>
      </c>
      <c r="E469" s="260"/>
      <c r="F469" s="255"/>
      <c r="G469" s="256"/>
      <c r="H469" s="256"/>
      <c r="I469" s="281"/>
      <c r="J469" s="277"/>
      <c r="K469" s="231"/>
      <c r="L469" s="231"/>
      <c r="M469" s="113"/>
      <c r="N469" s="113"/>
      <c r="O469" s="113"/>
      <c r="P469" s="113"/>
    </row>
    <row r="470" spans="3:16" x14ac:dyDescent="0.3">
      <c r="C470" s="118"/>
      <c r="D470" s="257" t="s">
        <v>266</v>
      </c>
      <c r="E470" s="260"/>
      <c r="F470" s="255"/>
      <c r="G470" s="256"/>
      <c r="H470" s="256"/>
      <c r="I470" s="281"/>
      <c r="J470" s="277"/>
      <c r="K470" s="231"/>
      <c r="L470" s="231"/>
      <c r="M470" s="113"/>
      <c r="N470" s="113"/>
      <c r="O470" s="113"/>
      <c r="P470" s="113"/>
    </row>
    <row r="471" spans="3:16" x14ac:dyDescent="0.3">
      <c r="C471" s="114"/>
      <c r="D471" s="258" t="s">
        <v>818</v>
      </c>
      <c r="E471" s="239" t="s">
        <v>0</v>
      </c>
      <c r="F471" s="235">
        <v>1</v>
      </c>
      <c r="G471" s="236">
        <v>0.15</v>
      </c>
      <c r="H471" s="236">
        <v>2.83</v>
      </c>
      <c r="I471" s="236">
        <v>0.85</v>
      </c>
      <c r="J471" s="242">
        <v>1</v>
      </c>
      <c r="K471" s="237"/>
      <c r="L471" s="237">
        <f t="shared" ref="L471:L483" si="20">((H471+I471)*2)*F471*G471*J471</f>
        <v>1.1040000000000001</v>
      </c>
      <c r="M471" s="111"/>
      <c r="N471" s="111"/>
      <c r="O471" s="111"/>
      <c r="P471" s="111"/>
    </row>
    <row r="472" spans="3:16" x14ac:dyDescent="0.3">
      <c r="C472" s="114"/>
      <c r="D472" s="258" t="s">
        <v>819</v>
      </c>
      <c r="E472" s="239" t="s">
        <v>0</v>
      </c>
      <c r="F472" s="235">
        <v>1</v>
      </c>
      <c r="G472" s="236">
        <v>0.15</v>
      </c>
      <c r="H472" s="236">
        <v>2.63</v>
      </c>
      <c r="I472" s="236">
        <v>1.58</v>
      </c>
      <c r="J472" s="242">
        <v>1</v>
      </c>
      <c r="K472" s="237"/>
      <c r="L472" s="237">
        <f t="shared" si="20"/>
        <v>1.2629999999999999</v>
      </c>
      <c r="M472" s="111"/>
      <c r="N472" s="111"/>
      <c r="O472" s="111"/>
      <c r="P472" s="111"/>
    </row>
    <row r="473" spans="3:16" x14ac:dyDescent="0.3">
      <c r="C473" s="114"/>
      <c r="D473" s="258" t="s">
        <v>820</v>
      </c>
      <c r="E473" s="239" t="s">
        <v>0</v>
      </c>
      <c r="F473" s="235">
        <v>1</v>
      </c>
      <c r="G473" s="236">
        <v>0.15</v>
      </c>
      <c r="H473" s="236">
        <v>2.7</v>
      </c>
      <c r="I473" s="236">
        <v>0.85</v>
      </c>
      <c r="J473" s="242">
        <v>1</v>
      </c>
      <c r="K473" s="237"/>
      <c r="L473" s="237">
        <f t="shared" si="20"/>
        <v>1.0649999999999999</v>
      </c>
      <c r="M473" s="111"/>
      <c r="N473" s="111"/>
      <c r="O473" s="111"/>
      <c r="P473" s="111"/>
    </row>
    <row r="474" spans="3:16" x14ac:dyDescent="0.3">
      <c r="C474" s="114"/>
      <c r="D474" s="258" t="s">
        <v>821</v>
      </c>
      <c r="E474" s="239" t="s">
        <v>0</v>
      </c>
      <c r="F474" s="235">
        <v>1</v>
      </c>
      <c r="G474" s="236">
        <v>0.15</v>
      </c>
      <c r="H474" s="236">
        <v>1.25</v>
      </c>
      <c r="I474" s="236">
        <v>0.6</v>
      </c>
      <c r="J474" s="242">
        <v>1</v>
      </c>
      <c r="K474" s="237"/>
      <c r="L474" s="237">
        <f t="shared" si="20"/>
        <v>0.55500000000000005</v>
      </c>
      <c r="M474" s="111"/>
      <c r="N474" s="111"/>
      <c r="O474" s="111"/>
      <c r="P474" s="111"/>
    </row>
    <row r="475" spans="3:16" x14ac:dyDescent="0.3">
      <c r="C475" s="114"/>
      <c r="D475" s="258" t="s">
        <v>822</v>
      </c>
      <c r="E475" s="239" t="s">
        <v>0</v>
      </c>
      <c r="F475" s="235">
        <v>1</v>
      </c>
      <c r="G475" s="236">
        <v>0.15</v>
      </c>
      <c r="H475" s="282">
        <v>1.3</v>
      </c>
      <c r="I475" s="236">
        <v>0.6</v>
      </c>
      <c r="J475" s="242">
        <v>1</v>
      </c>
      <c r="K475" s="237"/>
      <c r="L475" s="237">
        <f t="shared" si="20"/>
        <v>0.56999999999999995</v>
      </c>
      <c r="M475" s="111"/>
      <c r="N475" s="111"/>
      <c r="O475" s="111"/>
      <c r="P475" s="111"/>
    </row>
    <row r="476" spans="3:16" x14ac:dyDescent="0.3">
      <c r="C476" s="114"/>
      <c r="D476" s="258" t="s">
        <v>823</v>
      </c>
      <c r="E476" s="239" t="s">
        <v>0</v>
      </c>
      <c r="F476" s="235">
        <v>1</v>
      </c>
      <c r="G476" s="236">
        <v>0.15</v>
      </c>
      <c r="H476" s="236">
        <v>1.4</v>
      </c>
      <c r="I476" s="236">
        <v>1.58</v>
      </c>
      <c r="J476" s="242">
        <v>1</v>
      </c>
      <c r="K476" s="237"/>
      <c r="L476" s="237">
        <f t="shared" si="20"/>
        <v>0.89400000000000002</v>
      </c>
      <c r="M476" s="111"/>
      <c r="N476" s="111"/>
      <c r="O476" s="111"/>
      <c r="P476" s="111"/>
    </row>
    <row r="477" spans="3:16" x14ac:dyDescent="0.3">
      <c r="C477" s="114"/>
      <c r="D477" s="258" t="s">
        <v>824</v>
      </c>
      <c r="E477" s="239" t="s">
        <v>0</v>
      </c>
      <c r="F477" s="235">
        <v>2</v>
      </c>
      <c r="G477" s="236">
        <v>0.15</v>
      </c>
      <c r="H477" s="236">
        <v>1.08</v>
      </c>
      <c r="I477" s="236">
        <v>0.85</v>
      </c>
      <c r="J477" s="242">
        <v>1</v>
      </c>
      <c r="K477" s="237"/>
      <c r="L477" s="237">
        <f t="shared" si="20"/>
        <v>1.1580000000000001</v>
      </c>
      <c r="M477" s="111"/>
      <c r="N477" s="111"/>
      <c r="O477" s="111"/>
      <c r="P477" s="111"/>
    </row>
    <row r="478" spans="3:16" x14ac:dyDescent="0.3">
      <c r="C478" s="114"/>
      <c r="D478" s="258" t="s">
        <v>825</v>
      </c>
      <c r="E478" s="239" t="s">
        <v>0</v>
      </c>
      <c r="F478" s="235">
        <v>1</v>
      </c>
      <c r="G478" s="236">
        <v>0.15</v>
      </c>
      <c r="H478" s="236">
        <v>1.33</v>
      </c>
      <c r="I478" s="236">
        <v>0.6</v>
      </c>
      <c r="J478" s="242">
        <v>1</v>
      </c>
      <c r="K478" s="237"/>
      <c r="L478" s="237">
        <f t="shared" si="20"/>
        <v>0.57900000000000007</v>
      </c>
      <c r="M478" s="111"/>
      <c r="N478" s="111"/>
      <c r="O478" s="111"/>
      <c r="P478" s="111"/>
    </row>
    <row r="479" spans="3:16" x14ac:dyDescent="0.3">
      <c r="C479" s="114"/>
      <c r="D479" s="258" t="s">
        <v>826</v>
      </c>
      <c r="E479" s="239" t="s">
        <v>0</v>
      </c>
      <c r="F479" s="235">
        <v>2</v>
      </c>
      <c r="G479" s="236">
        <v>0.15</v>
      </c>
      <c r="H479" s="236">
        <v>2.2999999999999998</v>
      </c>
      <c r="I479" s="236">
        <v>0.85</v>
      </c>
      <c r="J479" s="242">
        <v>1</v>
      </c>
      <c r="K479" s="237"/>
      <c r="L479" s="237">
        <f t="shared" si="20"/>
        <v>1.89</v>
      </c>
      <c r="M479" s="111"/>
      <c r="N479" s="111"/>
      <c r="O479" s="111"/>
      <c r="P479" s="111"/>
    </row>
    <row r="480" spans="3:16" x14ac:dyDescent="0.3">
      <c r="C480" s="114"/>
      <c r="D480" s="258" t="s">
        <v>827</v>
      </c>
      <c r="E480" s="239" t="s">
        <v>0</v>
      </c>
      <c r="F480" s="235">
        <v>4</v>
      </c>
      <c r="G480" s="236">
        <v>0.15</v>
      </c>
      <c r="H480" s="236">
        <v>2.2999999999999998</v>
      </c>
      <c r="I480" s="236">
        <v>1.58</v>
      </c>
      <c r="J480" s="242">
        <v>1</v>
      </c>
      <c r="K480" s="237"/>
      <c r="L480" s="237">
        <f t="shared" si="20"/>
        <v>4.6559999999999997</v>
      </c>
      <c r="M480" s="111"/>
      <c r="N480" s="111"/>
      <c r="O480" s="111"/>
      <c r="P480" s="111"/>
    </row>
    <row r="481" spans="3:16" x14ac:dyDescent="0.3">
      <c r="C481" s="114"/>
      <c r="D481" s="258" t="s">
        <v>828</v>
      </c>
      <c r="E481" s="239" t="s">
        <v>0</v>
      </c>
      <c r="F481" s="235">
        <v>1</v>
      </c>
      <c r="G481" s="236">
        <v>0.15</v>
      </c>
      <c r="H481" s="236">
        <v>1.63</v>
      </c>
      <c r="I481" s="236">
        <v>0.85</v>
      </c>
      <c r="J481" s="242">
        <v>1</v>
      </c>
      <c r="K481" s="237"/>
      <c r="L481" s="237">
        <f t="shared" si="20"/>
        <v>0.74399999999999999</v>
      </c>
      <c r="M481" s="111"/>
      <c r="N481" s="111"/>
      <c r="O481" s="111"/>
      <c r="P481" s="111"/>
    </row>
    <row r="482" spans="3:16" x14ac:dyDescent="0.3">
      <c r="C482" s="114"/>
      <c r="D482" s="258" t="s">
        <v>829</v>
      </c>
      <c r="E482" s="239" t="s">
        <v>0</v>
      </c>
      <c r="F482" s="235">
        <v>2</v>
      </c>
      <c r="G482" s="236">
        <v>0.15</v>
      </c>
      <c r="H482" s="236">
        <v>2.5</v>
      </c>
      <c r="I482" s="236">
        <v>0.6</v>
      </c>
      <c r="J482" s="242">
        <v>1</v>
      </c>
      <c r="K482" s="237"/>
      <c r="L482" s="237">
        <f t="shared" si="20"/>
        <v>1.8599999999999999</v>
      </c>
      <c r="M482" s="111"/>
      <c r="N482" s="111"/>
      <c r="O482" s="111"/>
      <c r="P482" s="111"/>
    </row>
    <row r="483" spans="3:16" x14ac:dyDescent="0.3">
      <c r="C483" s="114"/>
      <c r="D483" s="258" t="s">
        <v>830</v>
      </c>
      <c r="E483" s="239" t="s">
        <v>0</v>
      </c>
      <c r="F483" s="235">
        <v>1</v>
      </c>
      <c r="G483" s="236">
        <v>0.15</v>
      </c>
      <c r="H483" s="236">
        <v>1.63</v>
      </c>
      <c r="I483" s="236">
        <v>1.58</v>
      </c>
      <c r="J483" s="242">
        <v>1</v>
      </c>
      <c r="K483" s="237"/>
      <c r="L483" s="237">
        <f t="shared" si="20"/>
        <v>0.96299999999999997</v>
      </c>
      <c r="M483" s="111"/>
      <c r="N483" s="111"/>
      <c r="O483" s="111"/>
      <c r="P483" s="111"/>
    </row>
    <row r="484" spans="3:16" x14ac:dyDescent="0.3">
      <c r="C484" s="118"/>
      <c r="D484" s="257" t="s">
        <v>129</v>
      </c>
      <c r="E484" s="260"/>
      <c r="F484" s="255"/>
      <c r="G484" s="256"/>
      <c r="H484" s="256"/>
      <c r="I484" s="283"/>
      <c r="J484" s="277"/>
      <c r="K484" s="231"/>
      <c r="L484" s="231"/>
      <c r="M484" s="113"/>
      <c r="N484" s="113"/>
      <c r="O484" s="113"/>
      <c r="P484" s="113"/>
    </row>
    <row r="485" spans="3:16" x14ac:dyDescent="0.3">
      <c r="C485" s="152"/>
      <c r="D485" s="258" t="s">
        <v>831</v>
      </c>
      <c r="E485" s="239" t="s">
        <v>0</v>
      </c>
      <c r="F485" s="235">
        <v>3</v>
      </c>
      <c r="G485" s="236">
        <v>0.15</v>
      </c>
      <c r="H485" s="236">
        <v>1.2</v>
      </c>
      <c r="I485" s="236">
        <v>2.68</v>
      </c>
      <c r="J485" s="242">
        <v>1</v>
      </c>
      <c r="K485" s="237"/>
      <c r="L485" s="237">
        <f t="shared" ref="L485:L491" si="21">((H485+I485)*2)*F485*G485*J485</f>
        <v>3.492</v>
      </c>
      <c r="M485" s="113"/>
      <c r="N485" s="113"/>
      <c r="O485" s="113"/>
      <c r="P485" s="113"/>
    </row>
    <row r="486" spans="3:16" x14ac:dyDescent="0.2">
      <c r="C486" s="284"/>
      <c r="D486" s="258" t="s">
        <v>832</v>
      </c>
      <c r="E486" s="239" t="s">
        <v>0</v>
      </c>
      <c r="F486" s="235">
        <v>3</v>
      </c>
      <c r="G486" s="236">
        <v>0.15</v>
      </c>
      <c r="H486" s="236">
        <v>1</v>
      </c>
      <c r="I486" s="236">
        <v>2.48</v>
      </c>
      <c r="J486" s="242">
        <v>1</v>
      </c>
      <c r="K486" s="237"/>
      <c r="L486" s="237">
        <f t="shared" si="21"/>
        <v>3.1319999999999997</v>
      </c>
      <c r="M486" s="285"/>
      <c r="N486" s="285"/>
      <c r="O486" s="285"/>
      <c r="P486" s="285"/>
    </row>
    <row r="487" spans="3:16" x14ac:dyDescent="0.2">
      <c r="C487" s="284"/>
      <c r="D487" s="258" t="s">
        <v>833</v>
      </c>
      <c r="E487" s="239" t="s">
        <v>0</v>
      </c>
      <c r="F487" s="235">
        <v>1</v>
      </c>
      <c r="G487" s="236">
        <v>0.15</v>
      </c>
      <c r="H487" s="236">
        <v>1</v>
      </c>
      <c r="I487" s="236">
        <v>2.68</v>
      </c>
      <c r="J487" s="242">
        <v>1</v>
      </c>
      <c r="K487" s="237"/>
      <c r="L487" s="237">
        <f t="shared" si="21"/>
        <v>1.1040000000000001</v>
      </c>
      <c r="M487" s="285"/>
      <c r="N487" s="285"/>
      <c r="O487" s="285"/>
      <c r="P487" s="285"/>
    </row>
    <row r="488" spans="3:16" x14ac:dyDescent="0.3">
      <c r="C488" s="99"/>
      <c r="D488" s="258" t="s">
        <v>834</v>
      </c>
      <c r="E488" s="239" t="s">
        <v>0</v>
      </c>
      <c r="F488" s="235">
        <v>1</v>
      </c>
      <c r="G488" s="236">
        <v>0.15</v>
      </c>
      <c r="H488" s="236">
        <v>0.7</v>
      </c>
      <c r="I488" s="236">
        <v>2.88</v>
      </c>
      <c r="J488" s="242">
        <v>1</v>
      </c>
      <c r="K488" s="237"/>
      <c r="L488" s="237">
        <f t="shared" si="21"/>
        <v>1.0740000000000001</v>
      </c>
      <c r="M488" s="286"/>
      <c r="N488" s="286"/>
      <c r="O488" s="286"/>
      <c r="P488" s="103"/>
    </row>
    <row r="489" spans="3:16" x14ac:dyDescent="0.3">
      <c r="C489" s="99"/>
      <c r="D489" s="258" t="s">
        <v>835</v>
      </c>
      <c r="E489" s="239" t="s">
        <v>0</v>
      </c>
      <c r="F489" s="235">
        <v>1</v>
      </c>
      <c r="G489" s="236">
        <v>0.15</v>
      </c>
      <c r="H489" s="236">
        <v>0.7</v>
      </c>
      <c r="I489" s="236">
        <v>2.48</v>
      </c>
      <c r="J489" s="242">
        <v>1</v>
      </c>
      <c r="K489" s="237"/>
      <c r="L489" s="237">
        <f t="shared" si="21"/>
        <v>0.95399999999999985</v>
      </c>
      <c r="M489" s="286"/>
      <c r="N489" s="286"/>
      <c r="O489" s="286"/>
      <c r="P489" s="103"/>
    </row>
    <row r="490" spans="3:16" x14ac:dyDescent="0.3">
      <c r="C490" s="99"/>
      <c r="D490" s="258" t="s">
        <v>836</v>
      </c>
      <c r="E490" s="234" t="s">
        <v>0</v>
      </c>
      <c r="F490" s="235">
        <v>1</v>
      </c>
      <c r="G490" s="236">
        <v>0.15</v>
      </c>
      <c r="H490" s="236">
        <v>1.2</v>
      </c>
      <c r="I490" s="236">
        <v>2.68</v>
      </c>
      <c r="J490" s="242">
        <v>1</v>
      </c>
      <c r="K490" s="237"/>
      <c r="L490" s="237">
        <f t="shared" si="21"/>
        <v>1.1639999999999999</v>
      </c>
      <c r="M490" s="286"/>
      <c r="N490" s="286"/>
      <c r="O490" s="286"/>
      <c r="P490" s="103"/>
    </row>
    <row r="491" spans="3:16" x14ac:dyDescent="0.3">
      <c r="C491" s="99"/>
      <c r="D491" s="258" t="s">
        <v>837</v>
      </c>
      <c r="E491" s="234" t="s">
        <v>0</v>
      </c>
      <c r="F491" s="235">
        <v>1</v>
      </c>
      <c r="G491" s="236">
        <v>0.15</v>
      </c>
      <c r="H491" s="236">
        <v>1.2</v>
      </c>
      <c r="I491" s="236">
        <v>2.48</v>
      </c>
      <c r="J491" s="242">
        <v>1</v>
      </c>
      <c r="K491" s="237"/>
      <c r="L491" s="237">
        <f t="shared" si="21"/>
        <v>1.1039999999999999</v>
      </c>
      <c r="M491" s="286"/>
      <c r="N491" s="286"/>
      <c r="O491" s="286"/>
      <c r="P491" s="103"/>
    </row>
    <row r="492" spans="3:16" x14ac:dyDescent="0.3">
      <c r="C492" s="118"/>
      <c r="D492" s="253" t="s">
        <v>68</v>
      </c>
      <c r="E492" s="260"/>
      <c r="F492" s="255"/>
      <c r="G492" s="256"/>
      <c r="H492" s="256"/>
      <c r="I492" s="283"/>
      <c r="J492" s="277"/>
      <c r="K492" s="231"/>
      <c r="L492" s="231"/>
      <c r="M492" s="113"/>
      <c r="N492" s="113"/>
      <c r="O492" s="113"/>
      <c r="P492" s="113"/>
    </row>
    <row r="493" spans="3:16" x14ac:dyDescent="0.3">
      <c r="C493" s="118"/>
      <c r="D493" s="257" t="s">
        <v>266</v>
      </c>
      <c r="E493" s="260"/>
      <c r="F493" s="255"/>
      <c r="G493" s="256"/>
      <c r="H493" s="256"/>
      <c r="I493" s="283"/>
      <c r="J493" s="277"/>
      <c r="K493" s="231"/>
      <c r="L493" s="231"/>
      <c r="M493" s="113"/>
      <c r="N493" s="113"/>
      <c r="O493" s="113"/>
      <c r="P493" s="113"/>
    </row>
    <row r="494" spans="3:16" x14ac:dyDescent="0.3">
      <c r="C494" s="114"/>
      <c r="D494" s="258" t="s">
        <v>819</v>
      </c>
      <c r="E494" s="239" t="s">
        <v>0</v>
      </c>
      <c r="F494" s="235">
        <v>1</v>
      </c>
      <c r="G494" s="236">
        <v>0.15</v>
      </c>
      <c r="H494" s="236">
        <v>2.63</v>
      </c>
      <c r="I494" s="236">
        <v>1.58</v>
      </c>
      <c r="J494" s="242">
        <v>1</v>
      </c>
      <c r="K494" s="237"/>
      <c r="L494" s="237">
        <f t="shared" ref="L494:L504" si="22">((H494+I494)*2)*F494*G494*J494</f>
        <v>1.2629999999999999</v>
      </c>
      <c r="M494" s="111"/>
      <c r="N494" s="111"/>
      <c r="O494" s="111"/>
      <c r="P494" s="111"/>
    </row>
    <row r="495" spans="3:16" x14ac:dyDescent="0.3">
      <c r="C495" s="114"/>
      <c r="D495" s="258" t="s">
        <v>824</v>
      </c>
      <c r="E495" s="239" t="s">
        <v>0</v>
      </c>
      <c r="F495" s="235">
        <v>2</v>
      </c>
      <c r="G495" s="236">
        <v>0.15</v>
      </c>
      <c r="H495" s="236">
        <v>1.08</v>
      </c>
      <c r="I495" s="236">
        <v>0.85</v>
      </c>
      <c r="J495" s="242">
        <v>1</v>
      </c>
      <c r="K495" s="237"/>
      <c r="L495" s="237">
        <f t="shared" si="22"/>
        <v>1.1580000000000001</v>
      </c>
      <c r="M495" s="111"/>
      <c r="N495" s="111"/>
      <c r="O495" s="111"/>
      <c r="P495" s="111"/>
    </row>
    <row r="496" spans="3:16" x14ac:dyDescent="0.3">
      <c r="C496" s="114"/>
      <c r="D496" s="258" t="s">
        <v>826</v>
      </c>
      <c r="E496" s="239" t="s">
        <v>0</v>
      </c>
      <c r="F496" s="235">
        <v>2</v>
      </c>
      <c r="G496" s="236">
        <v>0.15</v>
      </c>
      <c r="H496" s="236">
        <v>2.2999999999999998</v>
      </c>
      <c r="I496" s="236">
        <v>0.85</v>
      </c>
      <c r="J496" s="242">
        <v>1</v>
      </c>
      <c r="K496" s="237"/>
      <c r="L496" s="237">
        <f t="shared" si="22"/>
        <v>1.89</v>
      </c>
      <c r="M496" s="111"/>
      <c r="N496" s="111"/>
      <c r="O496" s="111"/>
      <c r="P496" s="111"/>
    </row>
    <row r="497" spans="3:16" x14ac:dyDescent="0.3">
      <c r="C497" s="114"/>
      <c r="D497" s="258" t="s">
        <v>827</v>
      </c>
      <c r="E497" s="239" t="s">
        <v>0</v>
      </c>
      <c r="F497" s="235">
        <v>4</v>
      </c>
      <c r="G497" s="236">
        <v>0.15</v>
      </c>
      <c r="H497" s="282">
        <v>2.2999999999999998</v>
      </c>
      <c r="I497" s="236">
        <v>1.58</v>
      </c>
      <c r="J497" s="242">
        <v>1</v>
      </c>
      <c r="K497" s="237"/>
      <c r="L497" s="237">
        <f t="shared" si="22"/>
        <v>4.6559999999999997</v>
      </c>
      <c r="M497" s="111"/>
      <c r="N497" s="111"/>
      <c r="O497" s="111"/>
      <c r="P497" s="111"/>
    </row>
    <row r="498" spans="3:16" x14ac:dyDescent="0.3">
      <c r="C498" s="114"/>
      <c r="D498" s="258" t="s">
        <v>828</v>
      </c>
      <c r="E498" s="239" t="s">
        <v>0</v>
      </c>
      <c r="F498" s="235">
        <v>1</v>
      </c>
      <c r="G498" s="236">
        <v>0.15</v>
      </c>
      <c r="H498" s="236">
        <v>1.63</v>
      </c>
      <c r="I498" s="236">
        <v>0.85</v>
      </c>
      <c r="J498" s="242">
        <v>1</v>
      </c>
      <c r="K498" s="237"/>
      <c r="L498" s="237">
        <f t="shared" si="22"/>
        <v>0.74399999999999999</v>
      </c>
      <c r="M498" s="111"/>
      <c r="N498" s="111"/>
      <c r="O498" s="111"/>
      <c r="P498" s="111"/>
    </row>
    <row r="499" spans="3:16" x14ac:dyDescent="0.3">
      <c r="C499" s="114"/>
      <c r="D499" s="258" t="s">
        <v>830</v>
      </c>
      <c r="E499" s="239" t="s">
        <v>0</v>
      </c>
      <c r="F499" s="235">
        <v>1</v>
      </c>
      <c r="G499" s="236">
        <v>0.15</v>
      </c>
      <c r="H499" s="236">
        <v>1.63</v>
      </c>
      <c r="I499" s="236">
        <v>1.58</v>
      </c>
      <c r="J499" s="242">
        <v>1</v>
      </c>
      <c r="K499" s="237"/>
      <c r="L499" s="237">
        <f t="shared" si="22"/>
        <v>0.96299999999999997</v>
      </c>
      <c r="M499" s="111"/>
      <c r="N499" s="111"/>
      <c r="O499" s="111"/>
      <c r="P499" s="111"/>
    </row>
    <row r="500" spans="3:16" x14ac:dyDescent="0.3">
      <c r="C500" s="114"/>
      <c r="D500" s="258" t="s">
        <v>838</v>
      </c>
      <c r="E500" s="239" t="s">
        <v>0</v>
      </c>
      <c r="F500" s="235">
        <v>1</v>
      </c>
      <c r="G500" s="236">
        <v>0.15</v>
      </c>
      <c r="H500" s="236">
        <v>2.7</v>
      </c>
      <c r="I500" s="236">
        <v>1.58</v>
      </c>
      <c r="J500" s="242">
        <v>1</v>
      </c>
      <c r="K500" s="237"/>
      <c r="L500" s="237">
        <f t="shared" si="22"/>
        <v>1.284</v>
      </c>
      <c r="M500" s="111"/>
      <c r="N500" s="111"/>
      <c r="O500" s="111"/>
      <c r="P500" s="111"/>
    </row>
    <row r="501" spans="3:16" x14ac:dyDescent="0.3">
      <c r="C501" s="114"/>
      <c r="D501" s="258" t="s">
        <v>839</v>
      </c>
      <c r="E501" s="239" t="s">
        <v>0</v>
      </c>
      <c r="F501" s="235">
        <v>1</v>
      </c>
      <c r="G501" s="236">
        <v>0.15</v>
      </c>
      <c r="H501" s="236">
        <v>1.63</v>
      </c>
      <c r="I501" s="236">
        <v>0.85</v>
      </c>
      <c r="J501" s="242">
        <v>1</v>
      </c>
      <c r="K501" s="237"/>
      <c r="L501" s="237">
        <f t="shared" si="22"/>
        <v>0.74399999999999999</v>
      </c>
      <c r="M501" s="111"/>
      <c r="N501" s="111"/>
      <c r="O501" s="111"/>
      <c r="P501" s="111"/>
    </row>
    <row r="502" spans="3:16" x14ac:dyDescent="0.3">
      <c r="C502" s="114"/>
      <c r="D502" s="258" t="s">
        <v>840</v>
      </c>
      <c r="E502" s="239" t="s">
        <v>0</v>
      </c>
      <c r="F502" s="235">
        <v>1</v>
      </c>
      <c r="G502" s="236">
        <v>0.15</v>
      </c>
      <c r="H502" s="236">
        <v>3.25</v>
      </c>
      <c r="I502" s="236">
        <v>0.85</v>
      </c>
      <c r="J502" s="242">
        <v>1</v>
      </c>
      <c r="K502" s="237"/>
      <c r="L502" s="237">
        <f t="shared" si="22"/>
        <v>1.2299999999999998</v>
      </c>
      <c r="M502" s="111"/>
      <c r="N502" s="111"/>
      <c r="O502" s="111"/>
      <c r="P502" s="111"/>
    </row>
    <row r="503" spans="3:16" x14ac:dyDescent="0.3">
      <c r="C503" s="114"/>
      <c r="D503" s="258" t="s">
        <v>841</v>
      </c>
      <c r="E503" s="239" t="s">
        <v>0</v>
      </c>
      <c r="F503" s="235">
        <v>1</v>
      </c>
      <c r="G503" s="236">
        <v>0.15</v>
      </c>
      <c r="H503" s="236">
        <v>3.29</v>
      </c>
      <c r="I503" s="236">
        <v>0.6</v>
      </c>
      <c r="J503" s="242">
        <v>1</v>
      </c>
      <c r="K503" s="237"/>
      <c r="L503" s="237">
        <f t="shared" si="22"/>
        <v>1.167</v>
      </c>
      <c r="M503" s="111"/>
      <c r="N503" s="111"/>
      <c r="O503" s="111"/>
      <c r="P503" s="111"/>
    </row>
    <row r="504" spans="3:16" x14ac:dyDescent="0.3">
      <c r="C504" s="114"/>
      <c r="D504" s="258" t="s">
        <v>842</v>
      </c>
      <c r="E504" s="239" t="s">
        <v>0</v>
      </c>
      <c r="F504" s="235">
        <v>1</v>
      </c>
      <c r="G504" s="236">
        <v>0.15</v>
      </c>
      <c r="H504" s="236">
        <v>1.33</v>
      </c>
      <c r="I504" s="236">
        <v>0.85</v>
      </c>
      <c r="J504" s="242">
        <v>1</v>
      </c>
      <c r="K504" s="237"/>
      <c r="L504" s="237">
        <f t="shared" si="22"/>
        <v>0.65400000000000003</v>
      </c>
      <c r="M504" s="111"/>
      <c r="N504" s="111"/>
      <c r="O504" s="111"/>
      <c r="P504" s="111"/>
    </row>
    <row r="505" spans="3:16" x14ac:dyDescent="0.3">
      <c r="C505" s="118"/>
      <c r="D505" s="257" t="s">
        <v>129</v>
      </c>
      <c r="E505" s="260"/>
      <c r="F505" s="255"/>
      <c r="G505" s="256"/>
      <c r="H505" s="256"/>
      <c r="I505" s="281"/>
      <c r="J505" s="277"/>
      <c r="K505" s="231"/>
      <c r="L505" s="231"/>
      <c r="M505" s="113"/>
      <c r="N505" s="113"/>
      <c r="O505" s="113"/>
      <c r="P505" s="113"/>
    </row>
    <row r="506" spans="3:16" x14ac:dyDescent="0.2">
      <c r="C506" s="284"/>
      <c r="D506" s="258" t="s">
        <v>831</v>
      </c>
      <c r="E506" s="239" t="s">
        <v>0</v>
      </c>
      <c r="F506" s="235">
        <v>1</v>
      </c>
      <c r="G506" s="236">
        <v>0.15</v>
      </c>
      <c r="H506" s="236">
        <v>1.2</v>
      </c>
      <c r="I506" s="236">
        <v>2.68</v>
      </c>
      <c r="J506" s="242">
        <v>1</v>
      </c>
      <c r="K506" s="237"/>
      <c r="L506" s="237">
        <f>((H506+I506)*2)*F506*G506*J506</f>
        <v>1.1639999999999999</v>
      </c>
      <c r="M506" s="285"/>
      <c r="N506" s="285"/>
      <c r="O506" s="285"/>
      <c r="P506" s="285"/>
    </row>
    <row r="507" spans="3:16" x14ac:dyDescent="0.2">
      <c r="C507" s="284"/>
      <c r="D507" s="258" t="s">
        <v>833</v>
      </c>
      <c r="E507" s="239" t="s">
        <v>0</v>
      </c>
      <c r="F507" s="235">
        <v>2</v>
      </c>
      <c r="G507" s="236">
        <v>0.15</v>
      </c>
      <c r="H507" s="236">
        <v>1</v>
      </c>
      <c r="I507" s="236">
        <v>2.68</v>
      </c>
      <c r="J507" s="242">
        <v>1</v>
      </c>
      <c r="K507" s="237"/>
      <c r="L507" s="237">
        <f>((H507+I507)*2)*F507*G507*J507</f>
        <v>2.2080000000000002</v>
      </c>
      <c r="M507" s="285"/>
      <c r="N507" s="285"/>
      <c r="O507" s="285"/>
      <c r="P507" s="285"/>
    </row>
    <row r="508" spans="3:16" x14ac:dyDescent="0.3">
      <c r="C508" s="152"/>
      <c r="D508" s="258" t="s">
        <v>834</v>
      </c>
      <c r="E508" s="239" t="s">
        <v>0</v>
      </c>
      <c r="F508" s="235">
        <v>1</v>
      </c>
      <c r="G508" s="236">
        <v>0.15</v>
      </c>
      <c r="H508" s="236">
        <v>0.7</v>
      </c>
      <c r="I508" s="236">
        <v>2.88</v>
      </c>
      <c r="J508" s="242">
        <v>1</v>
      </c>
      <c r="K508" s="237"/>
      <c r="L508" s="237">
        <f>((H508+I508)*2)*F508*G508*J508</f>
        <v>1.0740000000000001</v>
      </c>
      <c r="M508" s="113"/>
      <c r="N508" s="113"/>
      <c r="O508" s="113"/>
      <c r="P508" s="113"/>
    </row>
    <row r="509" spans="3:16" x14ac:dyDescent="0.3">
      <c r="C509" s="152"/>
      <c r="D509" s="258" t="s">
        <v>843</v>
      </c>
      <c r="E509" s="239" t="s">
        <v>0</v>
      </c>
      <c r="F509" s="235">
        <v>1</v>
      </c>
      <c r="G509" s="236">
        <v>0.15</v>
      </c>
      <c r="H509" s="236">
        <v>1</v>
      </c>
      <c r="I509" s="236">
        <v>2.68</v>
      </c>
      <c r="J509" s="242">
        <v>1</v>
      </c>
      <c r="K509" s="237"/>
      <c r="L509" s="237">
        <f>((H509+I509)*2)*F509*G509*J509</f>
        <v>1.1040000000000001</v>
      </c>
      <c r="M509" s="113"/>
      <c r="N509" s="113"/>
      <c r="O509" s="113"/>
      <c r="P509" s="113"/>
    </row>
    <row r="510" spans="3:16" x14ac:dyDescent="0.3">
      <c r="C510" s="152"/>
      <c r="D510" s="258" t="s">
        <v>836</v>
      </c>
      <c r="E510" s="234" t="s">
        <v>0</v>
      </c>
      <c r="F510" s="235">
        <v>1</v>
      </c>
      <c r="G510" s="236">
        <v>0.15</v>
      </c>
      <c r="H510" s="236">
        <v>1.2</v>
      </c>
      <c r="I510" s="236">
        <v>2.68</v>
      </c>
      <c r="J510" s="242">
        <v>1</v>
      </c>
      <c r="K510" s="237"/>
      <c r="L510" s="237">
        <f>((H510+I510)*2)*F510*G510*J510</f>
        <v>1.1639999999999999</v>
      </c>
      <c r="M510" s="113"/>
      <c r="N510" s="113"/>
      <c r="O510" s="113"/>
      <c r="P510" s="113"/>
    </row>
    <row r="511" spans="3:16" x14ac:dyDescent="0.3">
      <c r="C511" s="118"/>
      <c r="D511" s="253" t="s">
        <v>106</v>
      </c>
      <c r="E511" s="260"/>
      <c r="F511" s="255"/>
      <c r="G511" s="256"/>
      <c r="H511" s="256"/>
      <c r="I511" s="283"/>
      <c r="J511" s="277"/>
      <c r="K511" s="231"/>
      <c r="L511" s="231"/>
      <c r="M511" s="113"/>
      <c r="N511" s="113"/>
      <c r="O511" s="113"/>
      <c r="P511" s="113"/>
    </row>
    <row r="512" spans="3:16" x14ac:dyDescent="0.3">
      <c r="C512" s="118"/>
      <c r="D512" s="257" t="s">
        <v>266</v>
      </c>
      <c r="E512" s="260"/>
      <c r="F512" s="255"/>
      <c r="G512" s="256"/>
      <c r="H512" s="256"/>
      <c r="I512" s="283"/>
      <c r="J512" s="277"/>
      <c r="K512" s="231"/>
      <c r="L512" s="231"/>
      <c r="M512" s="113"/>
      <c r="N512" s="113"/>
      <c r="O512" s="113"/>
      <c r="P512" s="113"/>
    </row>
    <row r="513" spans="3:16" x14ac:dyDescent="0.3">
      <c r="C513" s="118"/>
      <c r="D513" s="258" t="s">
        <v>819</v>
      </c>
      <c r="E513" s="239" t="s">
        <v>0</v>
      </c>
      <c r="F513" s="235">
        <v>1</v>
      </c>
      <c r="G513" s="236">
        <v>0.15</v>
      </c>
      <c r="H513" s="236">
        <v>2.63</v>
      </c>
      <c r="I513" s="236">
        <v>1.56</v>
      </c>
      <c r="J513" s="242">
        <v>1</v>
      </c>
      <c r="K513" s="237"/>
      <c r="L513" s="237">
        <f t="shared" ref="L513:L523" si="23">((H513+I513)*2)*F513*G513*J513</f>
        <v>1.2569999999999999</v>
      </c>
      <c r="M513" s="113"/>
      <c r="N513" s="113"/>
      <c r="O513" s="113"/>
      <c r="P513" s="113"/>
    </row>
    <row r="514" spans="3:16" x14ac:dyDescent="0.3">
      <c r="C514" s="114"/>
      <c r="D514" s="258" t="s">
        <v>824</v>
      </c>
      <c r="E514" s="239" t="s">
        <v>0</v>
      </c>
      <c r="F514" s="235">
        <v>2</v>
      </c>
      <c r="G514" s="236">
        <v>0.15</v>
      </c>
      <c r="H514" s="236">
        <v>1.08</v>
      </c>
      <c r="I514" s="236">
        <v>0.85</v>
      </c>
      <c r="J514" s="242">
        <v>1</v>
      </c>
      <c r="K514" s="237"/>
      <c r="L514" s="237">
        <f t="shared" si="23"/>
        <v>1.1580000000000001</v>
      </c>
      <c r="M514" s="111"/>
      <c r="N514" s="111"/>
      <c r="O514" s="111"/>
      <c r="P514" s="111"/>
    </row>
    <row r="515" spans="3:16" x14ac:dyDescent="0.3">
      <c r="C515" s="114"/>
      <c r="D515" s="258" t="s">
        <v>826</v>
      </c>
      <c r="E515" s="239" t="s">
        <v>0</v>
      </c>
      <c r="F515" s="235">
        <v>2</v>
      </c>
      <c r="G515" s="236">
        <v>0.15</v>
      </c>
      <c r="H515" s="236">
        <v>2.2999999999999998</v>
      </c>
      <c r="I515" s="236">
        <v>0.85</v>
      </c>
      <c r="J515" s="242">
        <v>1</v>
      </c>
      <c r="K515" s="237"/>
      <c r="L515" s="237">
        <f t="shared" si="23"/>
        <v>1.89</v>
      </c>
      <c r="M515" s="111"/>
      <c r="N515" s="111"/>
      <c r="O515" s="111"/>
      <c r="P515" s="111"/>
    </row>
    <row r="516" spans="3:16" x14ac:dyDescent="0.3">
      <c r="C516" s="114"/>
      <c r="D516" s="258" t="s">
        <v>827</v>
      </c>
      <c r="E516" s="239" t="s">
        <v>0</v>
      </c>
      <c r="F516" s="235">
        <v>4</v>
      </c>
      <c r="G516" s="236">
        <v>0.15</v>
      </c>
      <c r="H516" s="282">
        <v>2.2999999999999998</v>
      </c>
      <c r="I516" s="236">
        <v>1.56</v>
      </c>
      <c r="J516" s="242">
        <v>1</v>
      </c>
      <c r="K516" s="237"/>
      <c r="L516" s="237">
        <f t="shared" si="23"/>
        <v>4.6319999999999997</v>
      </c>
      <c r="M516" s="111"/>
      <c r="N516" s="111"/>
      <c r="O516" s="111"/>
      <c r="P516" s="111"/>
    </row>
    <row r="517" spans="3:16" x14ac:dyDescent="0.3">
      <c r="C517" s="114"/>
      <c r="D517" s="258" t="s">
        <v>828</v>
      </c>
      <c r="E517" s="239" t="s">
        <v>0</v>
      </c>
      <c r="F517" s="235">
        <v>1</v>
      </c>
      <c r="G517" s="236">
        <v>0.15</v>
      </c>
      <c r="H517" s="236">
        <v>1.63</v>
      </c>
      <c r="I517" s="236">
        <v>0.85</v>
      </c>
      <c r="J517" s="242">
        <v>1</v>
      </c>
      <c r="K517" s="237"/>
      <c r="L517" s="237">
        <f t="shared" si="23"/>
        <v>0.74399999999999999</v>
      </c>
      <c r="M517" s="111"/>
      <c r="N517" s="111"/>
      <c r="O517" s="111"/>
      <c r="P517" s="111"/>
    </row>
    <row r="518" spans="3:16" x14ac:dyDescent="0.3">
      <c r="C518" s="114"/>
      <c r="D518" s="258" t="s">
        <v>830</v>
      </c>
      <c r="E518" s="239" t="s">
        <v>0</v>
      </c>
      <c r="F518" s="235">
        <v>1</v>
      </c>
      <c r="G518" s="236">
        <v>0.15</v>
      </c>
      <c r="H518" s="236">
        <v>1.63</v>
      </c>
      <c r="I518" s="236">
        <v>1.56</v>
      </c>
      <c r="J518" s="242">
        <v>1</v>
      </c>
      <c r="K518" s="237"/>
      <c r="L518" s="237">
        <f t="shared" si="23"/>
        <v>0.95699999999999996</v>
      </c>
      <c r="M518" s="111"/>
      <c r="N518" s="111"/>
      <c r="O518" s="111"/>
      <c r="P518" s="111"/>
    </row>
    <row r="519" spans="3:16" x14ac:dyDescent="0.3">
      <c r="C519" s="114"/>
      <c r="D519" s="258" t="s">
        <v>838</v>
      </c>
      <c r="E519" s="239" t="s">
        <v>0</v>
      </c>
      <c r="F519" s="235">
        <v>1</v>
      </c>
      <c r="G519" s="236">
        <v>0.15</v>
      </c>
      <c r="H519" s="236">
        <v>2.7</v>
      </c>
      <c r="I519" s="236">
        <v>1.56</v>
      </c>
      <c r="J519" s="242">
        <v>1</v>
      </c>
      <c r="K519" s="237"/>
      <c r="L519" s="237">
        <f t="shared" si="23"/>
        <v>1.2779999999999998</v>
      </c>
      <c r="M519" s="111"/>
      <c r="N519" s="111"/>
      <c r="O519" s="111"/>
      <c r="P519" s="111"/>
    </row>
    <row r="520" spans="3:16" x14ac:dyDescent="0.3">
      <c r="C520" s="114"/>
      <c r="D520" s="258" t="s">
        <v>841</v>
      </c>
      <c r="E520" s="239" t="s">
        <v>0</v>
      </c>
      <c r="F520" s="235">
        <v>1</v>
      </c>
      <c r="G520" s="236">
        <v>0.15</v>
      </c>
      <c r="H520" s="236">
        <v>3.29</v>
      </c>
      <c r="I520" s="236">
        <v>0.6</v>
      </c>
      <c r="J520" s="242">
        <v>1</v>
      </c>
      <c r="K520" s="237"/>
      <c r="L520" s="237">
        <f t="shared" si="23"/>
        <v>1.167</v>
      </c>
      <c r="M520" s="111"/>
      <c r="N520" s="111"/>
      <c r="O520" s="111"/>
      <c r="P520" s="111"/>
    </row>
    <row r="521" spans="3:16" x14ac:dyDescent="0.3">
      <c r="C521" s="114"/>
      <c r="D521" s="258" t="s">
        <v>842</v>
      </c>
      <c r="E521" s="239" t="s">
        <v>0</v>
      </c>
      <c r="F521" s="235">
        <v>1</v>
      </c>
      <c r="G521" s="236">
        <v>0.15</v>
      </c>
      <c r="H521" s="236">
        <v>1.33</v>
      </c>
      <c r="I521" s="236">
        <v>0.85</v>
      </c>
      <c r="J521" s="242">
        <v>1</v>
      </c>
      <c r="K521" s="237"/>
      <c r="L521" s="237">
        <f t="shared" si="23"/>
        <v>0.65400000000000003</v>
      </c>
      <c r="M521" s="111"/>
      <c r="N521" s="111"/>
      <c r="O521" s="111"/>
      <c r="P521" s="111"/>
    </row>
    <row r="522" spans="3:16" x14ac:dyDescent="0.3">
      <c r="C522" s="114"/>
      <c r="D522" s="258" t="s">
        <v>844</v>
      </c>
      <c r="E522" s="239" t="s">
        <v>0</v>
      </c>
      <c r="F522" s="235">
        <v>1</v>
      </c>
      <c r="G522" s="236">
        <v>0.15</v>
      </c>
      <c r="H522" s="236">
        <v>4.25</v>
      </c>
      <c r="I522" s="236">
        <v>0.85</v>
      </c>
      <c r="J522" s="242">
        <v>1</v>
      </c>
      <c r="K522" s="237"/>
      <c r="L522" s="237">
        <f t="shared" si="23"/>
        <v>1.5299999999999998</v>
      </c>
      <c r="M522" s="111"/>
      <c r="N522" s="111"/>
      <c r="O522" s="111"/>
      <c r="P522" s="111"/>
    </row>
    <row r="523" spans="3:16" x14ac:dyDescent="0.3">
      <c r="C523" s="114"/>
      <c r="D523" s="258" t="s">
        <v>845</v>
      </c>
      <c r="E523" s="239" t="s">
        <v>0</v>
      </c>
      <c r="F523" s="235">
        <v>1</v>
      </c>
      <c r="G523" s="236">
        <v>0.15</v>
      </c>
      <c r="H523" s="236">
        <v>1.43</v>
      </c>
      <c r="I523" s="236">
        <v>0.85</v>
      </c>
      <c r="J523" s="242">
        <v>1</v>
      </c>
      <c r="K523" s="237"/>
      <c r="L523" s="237">
        <f t="shared" si="23"/>
        <v>0.68399999999999994</v>
      </c>
      <c r="M523" s="111"/>
      <c r="N523" s="111"/>
      <c r="O523" s="111"/>
      <c r="P523" s="111"/>
    </row>
    <row r="524" spans="3:16" x14ac:dyDescent="0.3">
      <c r="C524" s="118"/>
      <c r="D524" s="257" t="s">
        <v>129</v>
      </c>
      <c r="E524" s="260"/>
      <c r="F524" s="255"/>
      <c r="G524" s="256"/>
      <c r="H524" s="256"/>
      <c r="I524" s="283"/>
      <c r="J524" s="277"/>
      <c r="K524" s="231"/>
      <c r="L524" s="231"/>
      <c r="M524" s="113"/>
      <c r="N524" s="113"/>
      <c r="O524" s="113"/>
      <c r="P524" s="113"/>
    </row>
    <row r="525" spans="3:16" x14ac:dyDescent="0.2">
      <c r="C525" s="284"/>
      <c r="D525" s="258" t="s">
        <v>831</v>
      </c>
      <c r="E525" s="239" t="s">
        <v>0</v>
      </c>
      <c r="F525" s="235">
        <v>2</v>
      </c>
      <c r="G525" s="236">
        <v>0.15</v>
      </c>
      <c r="H525" s="236">
        <v>1.2</v>
      </c>
      <c r="I525" s="236">
        <v>2.66</v>
      </c>
      <c r="J525" s="242">
        <v>1</v>
      </c>
      <c r="K525" s="237"/>
      <c r="L525" s="237">
        <f>((H525+I525)*2)*F525*G525*J525</f>
        <v>2.3160000000000003</v>
      </c>
      <c r="M525" s="285"/>
      <c r="N525" s="285"/>
      <c r="O525" s="285"/>
      <c r="P525" s="285"/>
    </row>
    <row r="526" spans="3:16" x14ac:dyDescent="0.3">
      <c r="C526" s="152"/>
      <c r="D526" s="258" t="s">
        <v>834</v>
      </c>
      <c r="E526" s="239" t="s">
        <v>0</v>
      </c>
      <c r="F526" s="235">
        <v>1</v>
      </c>
      <c r="G526" s="236">
        <v>0.15</v>
      </c>
      <c r="H526" s="236">
        <v>0.7</v>
      </c>
      <c r="I526" s="236">
        <v>2.86</v>
      </c>
      <c r="J526" s="242">
        <v>1</v>
      </c>
      <c r="K526" s="237"/>
      <c r="L526" s="237">
        <f>((H526+I526)*2)*F526*G526*J526</f>
        <v>1.0679999999999998</v>
      </c>
      <c r="M526" s="113"/>
      <c r="N526" s="113"/>
      <c r="O526" s="113"/>
      <c r="P526" s="113"/>
    </row>
    <row r="527" spans="3:16" x14ac:dyDescent="0.3">
      <c r="C527" s="152"/>
      <c r="D527" s="258" t="s">
        <v>843</v>
      </c>
      <c r="E527" s="239" t="s">
        <v>0</v>
      </c>
      <c r="F527" s="235">
        <v>1</v>
      </c>
      <c r="G527" s="236">
        <v>0.15</v>
      </c>
      <c r="H527" s="236">
        <v>1</v>
      </c>
      <c r="I527" s="236">
        <v>2.66</v>
      </c>
      <c r="J527" s="242">
        <v>1</v>
      </c>
      <c r="K527" s="237"/>
      <c r="L527" s="237">
        <f>((H527+I527)*2)*F527*G527*J527</f>
        <v>1.0980000000000001</v>
      </c>
      <c r="M527" s="113"/>
      <c r="N527" s="113"/>
      <c r="O527" s="113"/>
      <c r="P527" s="113"/>
    </row>
    <row r="528" spans="3:16" x14ac:dyDescent="0.3">
      <c r="C528" s="152"/>
      <c r="D528" s="258" t="s">
        <v>836</v>
      </c>
      <c r="E528" s="234" t="s">
        <v>0</v>
      </c>
      <c r="F528" s="235">
        <v>1</v>
      </c>
      <c r="G528" s="236">
        <v>0.15</v>
      </c>
      <c r="H528" s="236">
        <v>1.2</v>
      </c>
      <c r="I528" s="236">
        <v>2.66</v>
      </c>
      <c r="J528" s="242">
        <v>1</v>
      </c>
      <c r="K528" s="237"/>
      <c r="L528" s="237">
        <f>((H528+I528)*2)*F528*G528*J528</f>
        <v>1.1580000000000001</v>
      </c>
      <c r="M528" s="113"/>
      <c r="N528" s="113"/>
      <c r="O528" s="113"/>
      <c r="P528" s="113"/>
    </row>
    <row r="529" spans="3:16" ht="14.4" x14ac:dyDescent="0.3"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3:16" x14ac:dyDescent="0.3">
      <c r="C530" s="99" t="s">
        <v>1185</v>
      </c>
      <c r="D530" s="226" t="s">
        <v>159</v>
      </c>
      <c r="E530" s="101" t="s">
        <v>0</v>
      </c>
      <c r="F530" s="1"/>
      <c r="G530" s="2"/>
      <c r="H530" s="2"/>
      <c r="I530" s="2"/>
      <c r="J530" s="3"/>
      <c r="K530" s="103"/>
      <c r="L530" s="103"/>
      <c r="M530" s="103"/>
      <c r="N530" s="103"/>
      <c r="O530" s="103"/>
      <c r="P530" s="103">
        <f>SUM(L530:L552)</f>
        <v>303.39999999999998</v>
      </c>
    </row>
    <row r="531" spans="3:16" x14ac:dyDescent="0.3">
      <c r="C531" s="106"/>
      <c r="D531" s="227" t="s">
        <v>106</v>
      </c>
      <c r="E531" s="228"/>
      <c r="F531" s="229"/>
      <c r="G531" s="230"/>
      <c r="H531" s="230"/>
      <c r="I531" s="230"/>
      <c r="J531" s="229"/>
      <c r="K531" s="231"/>
      <c r="L531" s="231"/>
      <c r="M531" s="113"/>
      <c r="N531" s="113"/>
      <c r="O531" s="113"/>
      <c r="P531" s="113"/>
    </row>
    <row r="532" spans="3:16" x14ac:dyDescent="0.3">
      <c r="C532" s="114"/>
      <c r="D532" s="258" t="s">
        <v>518</v>
      </c>
      <c r="E532" s="234" t="s">
        <v>0</v>
      </c>
      <c r="F532" s="235">
        <v>1</v>
      </c>
      <c r="G532" s="236" t="s">
        <v>156</v>
      </c>
      <c r="H532" s="287">
        <v>8.33</v>
      </c>
      <c r="I532" s="236"/>
      <c r="J532" s="235">
        <v>1</v>
      </c>
      <c r="K532" s="237"/>
      <c r="L532" s="237">
        <f t="shared" ref="L532:L551" si="24">IF(F532="","",PRODUCT(F532:J532))</f>
        <v>8.33</v>
      </c>
      <c r="M532" s="111"/>
      <c r="N532" s="110"/>
      <c r="O532" s="111"/>
      <c r="P532" s="111"/>
    </row>
    <row r="533" spans="3:16" x14ac:dyDescent="0.3">
      <c r="C533" s="114"/>
      <c r="D533" s="258"/>
      <c r="E533" s="234" t="s">
        <v>0</v>
      </c>
      <c r="F533" s="235">
        <v>1</v>
      </c>
      <c r="G533" s="236" t="s">
        <v>156</v>
      </c>
      <c r="H533" s="287">
        <v>8.56</v>
      </c>
      <c r="I533" s="236"/>
      <c r="J533" s="235">
        <v>1</v>
      </c>
      <c r="K533" s="237"/>
      <c r="L533" s="237">
        <f t="shared" si="24"/>
        <v>8.56</v>
      </c>
      <c r="M533" s="111"/>
      <c r="N533" s="111"/>
      <c r="O533" s="111"/>
      <c r="P533" s="111"/>
    </row>
    <row r="534" spans="3:16" x14ac:dyDescent="0.3">
      <c r="C534" s="114"/>
      <c r="D534" s="258"/>
      <c r="E534" s="234" t="s">
        <v>0</v>
      </c>
      <c r="F534" s="235">
        <v>1</v>
      </c>
      <c r="G534" s="236" t="s">
        <v>156</v>
      </c>
      <c r="H534" s="287">
        <v>9.8000000000000007</v>
      </c>
      <c r="I534" s="236"/>
      <c r="J534" s="235">
        <v>1</v>
      </c>
      <c r="K534" s="237"/>
      <c r="L534" s="237">
        <f t="shared" si="24"/>
        <v>9.8000000000000007</v>
      </c>
      <c r="M534" s="111"/>
      <c r="N534" s="111"/>
      <c r="O534" s="111"/>
      <c r="P534" s="111"/>
    </row>
    <row r="535" spans="3:16" x14ac:dyDescent="0.3">
      <c r="C535" s="114"/>
      <c r="D535" s="258"/>
      <c r="E535" s="234" t="s">
        <v>0</v>
      </c>
      <c r="F535" s="235">
        <v>1</v>
      </c>
      <c r="G535" s="236" t="s">
        <v>156</v>
      </c>
      <c r="H535" s="287">
        <v>8.51</v>
      </c>
      <c r="I535" s="236"/>
      <c r="J535" s="235">
        <v>1</v>
      </c>
      <c r="K535" s="237"/>
      <c r="L535" s="237">
        <f t="shared" si="24"/>
        <v>8.51</v>
      </c>
      <c r="M535" s="111"/>
      <c r="N535" s="111"/>
      <c r="O535" s="111"/>
      <c r="P535" s="111"/>
    </row>
    <row r="536" spans="3:16" x14ac:dyDescent="0.3">
      <c r="C536" s="114"/>
      <c r="D536" s="258"/>
      <c r="E536" s="234" t="s">
        <v>0</v>
      </c>
      <c r="F536" s="235">
        <v>1</v>
      </c>
      <c r="G536" s="236" t="s">
        <v>156</v>
      </c>
      <c r="H536" s="287">
        <v>9.75</v>
      </c>
      <c r="I536" s="236"/>
      <c r="J536" s="235">
        <v>1</v>
      </c>
      <c r="K536" s="237"/>
      <c r="L536" s="237">
        <f t="shared" si="24"/>
        <v>9.75</v>
      </c>
      <c r="M536" s="111"/>
      <c r="N536" s="111"/>
      <c r="O536" s="111"/>
      <c r="P536" s="111"/>
    </row>
    <row r="537" spans="3:16" x14ac:dyDescent="0.3">
      <c r="C537" s="114"/>
      <c r="D537" s="258"/>
      <c r="E537" s="234" t="s">
        <v>0</v>
      </c>
      <c r="F537" s="235">
        <v>1</v>
      </c>
      <c r="G537" s="236" t="s">
        <v>156</v>
      </c>
      <c r="H537" s="287">
        <v>8.57</v>
      </c>
      <c r="I537" s="236"/>
      <c r="J537" s="235">
        <v>1</v>
      </c>
      <c r="K537" s="237"/>
      <c r="L537" s="237">
        <f t="shared" si="24"/>
        <v>8.57</v>
      </c>
      <c r="M537" s="111"/>
      <c r="N537" s="111"/>
      <c r="O537" s="111"/>
      <c r="P537" s="111"/>
    </row>
    <row r="538" spans="3:16" x14ac:dyDescent="0.3">
      <c r="C538" s="114"/>
      <c r="D538" s="258"/>
      <c r="E538" s="234" t="s">
        <v>0</v>
      </c>
      <c r="F538" s="235">
        <v>1</v>
      </c>
      <c r="G538" s="236" t="s">
        <v>156</v>
      </c>
      <c r="H538" s="287">
        <v>9.7799999999999994</v>
      </c>
      <c r="I538" s="236"/>
      <c r="J538" s="235">
        <v>1</v>
      </c>
      <c r="K538" s="237"/>
      <c r="L538" s="237">
        <f t="shared" si="24"/>
        <v>9.7799999999999994</v>
      </c>
      <c r="M538" s="111"/>
      <c r="N538" s="111"/>
      <c r="O538" s="111"/>
      <c r="P538" s="111"/>
    </row>
    <row r="539" spans="3:16" x14ac:dyDescent="0.3">
      <c r="C539" s="114"/>
      <c r="D539" s="258"/>
      <c r="E539" s="234" t="s">
        <v>0</v>
      </c>
      <c r="F539" s="235">
        <v>1</v>
      </c>
      <c r="G539" s="236" t="s">
        <v>156</v>
      </c>
      <c r="H539" s="287">
        <v>12.25</v>
      </c>
      <c r="I539" s="236"/>
      <c r="J539" s="235">
        <v>1</v>
      </c>
      <c r="K539" s="237"/>
      <c r="L539" s="237">
        <f t="shared" si="24"/>
        <v>12.25</v>
      </c>
      <c r="M539" s="111"/>
      <c r="N539" s="111"/>
      <c r="O539" s="111"/>
      <c r="P539" s="111"/>
    </row>
    <row r="540" spans="3:16" x14ac:dyDescent="0.3">
      <c r="C540" s="114"/>
      <c r="D540" s="258"/>
      <c r="E540" s="234" t="s">
        <v>0</v>
      </c>
      <c r="F540" s="235">
        <v>1</v>
      </c>
      <c r="G540" s="236" t="s">
        <v>156</v>
      </c>
      <c r="H540" s="287">
        <v>8.61</v>
      </c>
      <c r="I540" s="236"/>
      <c r="J540" s="235">
        <v>1</v>
      </c>
      <c r="K540" s="237"/>
      <c r="L540" s="237">
        <f t="shared" si="24"/>
        <v>8.61</v>
      </c>
      <c r="M540" s="111"/>
      <c r="N540" s="111"/>
      <c r="O540" s="111"/>
      <c r="P540" s="111"/>
    </row>
    <row r="541" spans="3:16" x14ac:dyDescent="0.3">
      <c r="C541" s="114"/>
      <c r="D541" s="258" t="s">
        <v>194</v>
      </c>
      <c r="E541" s="234" t="s">
        <v>0</v>
      </c>
      <c r="F541" s="235">
        <v>1</v>
      </c>
      <c r="G541" s="236" t="s">
        <v>156</v>
      </c>
      <c r="H541" s="287">
        <v>17.96</v>
      </c>
      <c r="I541" s="236"/>
      <c r="J541" s="235">
        <v>1</v>
      </c>
      <c r="K541" s="237"/>
      <c r="L541" s="237">
        <f t="shared" si="24"/>
        <v>17.96</v>
      </c>
      <c r="M541" s="111"/>
      <c r="N541" s="111"/>
      <c r="O541" s="111"/>
      <c r="P541" s="111"/>
    </row>
    <row r="542" spans="3:16" x14ac:dyDescent="0.3">
      <c r="C542" s="114"/>
      <c r="D542" s="258" t="s">
        <v>847</v>
      </c>
      <c r="E542" s="234" t="s">
        <v>0</v>
      </c>
      <c r="F542" s="235">
        <v>1</v>
      </c>
      <c r="G542" s="236" t="s">
        <v>156</v>
      </c>
      <c r="H542" s="287">
        <v>3.34</v>
      </c>
      <c r="I542" s="236"/>
      <c r="J542" s="235">
        <v>1</v>
      </c>
      <c r="K542" s="237"/>
      <c r="L542" s="237">
        <f t="shared" si="24"/>
        <v>3.34</v>
      </c>
      <c r="M542" s="111"/>
      <c r="N542" s="111"/>
      <c r="O542" s="111"/>
      <c r="P542" s="111"/>
    </row>
    <row r="543" spans="3:16" x14ac:dyDescent="0.3">
      <c r="C543" s="114"/>
      <c r="D543" s="258" t="s">
        <v>848</v>
      </c>
      <c r="E543" s="234" t="s">
        <v>0</v>
      </c>
      <c r="F543" s="235">
        <v>1</v>
      </c>
      <c r="G543" s="236" t="s">
        <v>156</v>
      </c>
      <c r="H543" s="287">
        <v>22.44</v>
      </c>
      <c r="I543" s="236"/>
      <c r="J543" s="235">
        <v>1</v>
      </c>
      <c r="K543" s="237"/>
      <c r="L543" s="237">
        <f t="shared" si="24"/>
        <v>22.44</v>
      </c>
      <c r="M543" s="111"/>
      <c r="N543" s="111"/>
      <c r="O543" s="111"/>
      <c r="P543" s="111"/>
    </row>
    <row r="544" spans="3:16" x14ac:dyDescent="0.3">
      <c r="C544" s="114"/>
      <c r="D544" s="258"/>
      <c r="E544" s="234" t="s">
        <v>0</v>
      </c>
      <c r="F544" s="235">
        <v>1</v>
      </c>
      <c r="G544" s="236" t="s">
        <v>156</v>
      </c>
      <c r="H544" s="287">
        <v>25.69</v>
      </c>
      <c r="I544" s="236"/>
      <c r="J544" s="235">
        <v>1</v>
      </c>
      <c r="K544" s="237"/>
      <c r="L544" s="237">
        <f t="shared" si="24"/>
        <v>25.69</v>
      </c>
      <c r="M544" s="111"/>
      <c r="N544" s="111"/>
      <c r="O544" s="111"/>
      <c r="P544" s="111"/>
    </row>
    <row r="545" spans="3:16" x14ac:dyDescent="0.3">
      <c r="C545" s="114"/>
      <c r="D545" s="258"/>
      <c r="E545" s="234" t="s">
        <v>0</v>
      </c>
      <c r="F545" s="235">
        <v>1</v>
      </c>
      <c r="G545" s="236" t="s">
        <v>156</v>
      </c>
      <c r="H545" s="287">
        <v>22.31</v>
      </c>
      <c r="I545" s="236"/>
      <c r="J545" s="235">
        <v>1</v>
      </c>
      <c r="K545" s="237"/>
      <c r="L545" s="237">
        <f t="shared" si="24"/>
        <v>22.31</v>
      </c>
      <c r="M545" s="111"/>
      <c r="N545" s="111"/>
      <c r="O545" s="111"/>
      <c r="P545" s="111"/>
    </row>
    <row r="546" spans="3:16" x14ac:dyDescent="0.3">
      <c r="C546" s="114"/>
      <c r="D546" s="258" t="s">
        <v>849</v>
      </c>
      <c r="E546" s="234" t="s">
        <v>0</v>
      </c>
      <c r="F546" s="235">
        <v>1</v>
      </c>
      <c r="G546" s="236" t="s">
        <v>156</v>
      </c>
      <c r="H546" s="287">
        <v>16.93</v>
      </c>
      <c r="I546" s="236"/>
      <c r="J546" s="235">
        <v>1</v>
      </c>
      <c r="K546" s="237"/>
      <c r="L546" s="237">
        <f t="shared" si="24"/>
        <v>16.93</v>
      </c>
      <c r="M546" s="111"/>
      <c r="N546" s="111"/>
      <c r="O546" s="111"/>
      <c r="P546" s="111"/>
    </row>
    <row r="547" spans="3:16" x14ac:dyDescent="0.3">
      <c r="C547" s="114"/>
      <c r="D547" s="258" t="s">
        <v>850</v>
      </c>
      <c r="E547" s="234" t="s">
        <v>0</v>
      </c>
      <c r="F547" s="235">
        <v>1</v>
      </c>
      <c r="G547" s="236" t="s">
        <v>156</v>
      </c>
      <c r="H547" s="287">
        <v>7.75</v>
      </c>
      <c r="I547" s="236"/>
      <c r="J547" s="235">
        <v>1</v>
      </c>
      <c r="K547" s="237"/>
      <c r="L547" s="237">
        <f t="shared" si="24"/>
        <v>7.75</v>
      </c>
      <c r="M547" s="111"/>
      <c r="N547" s="111"/>
      <c r="O547" s="111"/>
      <c r="P547" s="111"/>
    </row>
    <row r="548" spans="3:16" x14ac:dyDescent="0.3">
      <c r="C548" s="114"/>
      <c r="D548" s="258"/>
      <c r="E548" s="234" t="s">
        <v>0</v>
      </c>
      <c r="F548" s="235">
        <v>1</v>
      </c>
      <c r="G548" s="236" t="s">
        <v>156</v>
      </c>
      <c r="H548" s="287">
        <v>22.47</v>
      </c>
      <c r="I548" s="236"/>
      <c r="J548" s="235">
        <v>1</v>
      </c>
      <c r="K548" s="237"/>
      <c r="L548" s="237">
        <f t="shared" si="24"/>
        <v>22.47</v>
      </c>
      <c r="M548" s="111"/>
      <c r="N548" s="111"/>
      <c r="O548" s="111"/>
      <c r="P548" s="111"/>
    </row>
    <row r="549" spans="3:16" x14ac:dyDescent="0.3">
      <c r="C549" s="114"/>
      <c r="D549" s="258"/>
      <c r="E549" s="234" t="s">
        <v>0</v>
      </c>
      <c r="F549" s="235">
        <v>1</v>
      </c>
      <c r="G549" s="236" t="s">
        <v>156</v>
      </c>
      <c r="H549" s="287">
        <v>25.64</v>
      </c>
      <c r="I549" s="236"/>
      <c r="J549" s="235">
        <v>1</v>
      </c>
      <c r="K549" s="237"/>
      <c r="L549" s="237">
        <f t="shared" si="24"/>
        <v>25.64</v>
      </c>
      <c r="M549" s="111"/>
      <c r="N549" s="111"/>
      <c r="O549" s="111"/>
      <c r="P549" s="111"/>
    </row>
    <row r="550" spans="3:16" x14ac:dyDescent="0.3">
      <c r="C550" s="114"/>
      <c r="D550" s="258" t="s">
        <v>190</v>
      </c>
      <c r="E550" s="234" t="s">
        <v>0</v>
      </c>
      <c r="F550" s="235">
        <v>1</v>
      </c>
      <c r="G550" s="236" t="s">
        <v>156</v>
      </c>
      <c r="H550" s="236">
        <v>32.130000000000003</v>
      </c>
      <c r="I550" s="236"/>
      <c r="J550" s="235">
        <v>1</v>
      </c>
      <c r="K550" s="237"/>
      <c r="L550" s="237">
        <f t="shared" si="24"/>
        <v>32.130000000000003</v>
      </c>
      <c r="M550" s="111"/>
      <c r="N550" s="111"/>
      <c r="O550" s="111"/>
      <c r="P550" s="111"/>
    </row>
    <row r="551" spans="3:16" x14ac:dyDescent="0.3">
      <c r="C551" s="114"/>
      <c r="D551" s="258"/>
      <c r="E551" s="234" t="s">
        <v>0</v>
      </c>
      <c r="F551" s="235">
        <v>1</v>
      </c>
      <c r="G551" s="236" t="s">
        <v>156</v>
      </c>
      <c r="H551" s="236">
        <v>22.58</v>
      </c>
      <c r="I551" s="236"/>
      <c r="J551" s="235">
        <v>1</v>
      </c>
      <c r="K551" s="237"/>
      <c r="L551" s="237">
        <f t="shared" si="24"/>
        <v>22.58</v>
      </c>
      <c r="M551" s="111"/>
      <c r="N551" s="111"/>
      <c r="O551" s="111"/>
      <c r="P551" s="111"/>
    </row>
  </sheetData>
  <mergeCells count="10">
    <mergeCell ref="C2:P2"/>
    <mergeCell ref="D5:P6"/>
    <mergeCell ref="C13:C14"/>
    <mergeCell ref="D13:D14"/>
    <mergeCell ref="E13:E14"/>
    <mergeCell ref="F13:F14"/>
    <mergeCell ref="G13:I13"/>
    <mergeCell ref="J13:J14"/>
    <mergeCell ref="K13:O13"/>
    <mergeCell ref="P13:P14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4D52-A15E-4298-AE64-0E4B64FBC46D}">
  <dimension ref="A1:W450"/>
  <sheetViews>
    <sheetView view="pageBreakPreview" topLeftCell="B1" zoomScale="115" zoomScaleNormal="85" zoomScaleSheetLayoutView="115" workbookViewId="0">
      <selection activeCell="C430" sqref="C430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1127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559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100" t="s">
        <v>522</v>
      </c>
      <c r="E20" s="132" t="s">
        <v>0</v>
      </c>
      <c r="F20" s="1"/>
      <c r="G20" s="2"/>
      <c r="H20" s="2"/>
      <c r="I20" s="2"/>
      <c r="J20" s="3"/>
      <c r="K20" s="103"/>
      <c r="L20" s="103"/>
      <c r="M20" s="103"/>
      <c r="N20" s="103"/>
      <c r="O20" s="103"/>
      <c r="P20" s="103">
        <f>SUM(L20:L130)</f>
        <v>776.56844999999998</v>
      </c>
    </row>
    <row r="21" spans="1:16" x14ac:dyDescent="0.3">
      <c r="C21" s="118"/>
      <c r="D21" s="137" t="s">
        <v>444</v>
      </c>
      <c r="E21" s="138"/>
      <c r="F21" s="1"/>
      <c r="G21" s="2"/>
      <c r="H21" s="2"/>
      <c r="I21" s="2"/>
      <c r="J21" s="3"/>
      <c r="K21" s="113"/>
      <c r="L21" s="113"/>
      <c r="M21" s="113"/>
      <c r="N21" s="113"/>
      <c r="O21" s="113"/>
      <c r="P21" s="113"/>
    </row>
    <row r="22" spans="1:16" x14ac:dyDescent="0.3">
      <c r="C22" s="106"/>
      <c r="D22" s="120" t="s">
        <v>123</v>
      </c>
      <c r="E22" s="144"/>
      <c r="F22" s="3"/>
      <c r="G22" s="122"/>
      <c r="H22" s="122"/>
      <c r="I22" s="122"/>
      <c r="J22" s="3"/>
      <c r="K22" s="113"/>
      <c r="L22" s="113"/>
      <c r="M22" s="113"/>
      <c r="N22" s="113"/>
      <c r="O22" s="113"/>
      <c r="P22" s="113"/>
    </row>
    <row r="23" spans="1:16" x14ac:dyDescent="0.3">
      <c r="C23" s="114"/>
      <c r="D23" s="258" t="s">
        <v>561</v>
      </c>
      <c r="E23" s="239" t="s">
        <v>0</v>
      </c>
      <c r="F23" s="235">
        <v>1</v>
      </c>
      <c r="G23" s="236">
        <v>8.9</v>
      </c>
      <c r="H23" s="236"/>
      <c r="I23" s="268">
        <v>2.75</v>
      </c>
      <c r="J23" s="235">
        <v>2</v>
      </c>
      <c r="K23" s="237"/>
      <c r="L23" s="237">
        <f t="shared" ref="L23:L33" si="0">IF(F23="","",PRODUCT(F23:J23))</f>
        <v>48.95</v>
      </c>
      <c r="M23" s="111"/>
      <c r="N23" s="111"/>
      <c r="O23" s="111"/>
      <c r="P23" s="111"/>
    </row>
    <row r="24" spans="1:16" x14ac:dyDescent="0.3">
      <c r="C24" s="114"/>
      <c r="D24" s="258" t="s">
        <v>562</v>
      </c>
      <c r="E24" s="239" t="s">
        <v>0</v>
      </c>
      <c r="F24" s="235">
        <v>1</v>
      </c>
      <c r="G24" s="236">
        <v>8.9</v>
      </c>
      <c r="H24" s="236"/>
      <c r="I24" s="268">
        <v>2.75</v>
      </c>
      <c r="J24" s="235">
        <v>2</v>
      </c>
      <c r="K24" s="237"/>
      <c r="L24" s="237">
        <f t="shared" si="0"/>
        <v>48.95</v>
      </c>
      <c r="M24" s="111"/>
      <c r="N24" s="111"/>
      <c r="O24" s="111"/>
      <c r="P24" s="111"/>
    </row>
    <row r="25" spans="1:16" x14ac:dyDescent="0.3">
      <c r="C25" s="114"/>
      <c r="D25" s="258" t="s">
        <v>563</v>
      </c>
      <c r="E25" s="239" t="s">
        <v>0</v>
      </c>
      <c r="F25" s="235">
        <v>1</v>
      </c>
      <c r="G25" s="236">
        <v>1.35</v>
      </c>
      <c r="H25" s="236"/>
      <c r="I25" s="268">
        <v>2.75</v>
      </c>
      <c r="J25" s="235">
        <v>2</v>
      </c>
      <c r="K25" s="237"/>
      <c r="L25" s="237">
        <f t="shared" si="0"/>
        <v>7.4250000000000007</v>
      </c>
      <c r="M25" s="111"/>
      <c r="N25" s="111"/>
      <c r="O25" s="111"/>
      <c r="P25" s="111"/>
    </row>
    <row r="26" spans="1:16" x14ac:dyDescent="0.3">
      <c r="C26" s="114"/>
      <c r="D26" s="258" t="s">
        <v>564</v>
      </c>
      <c r="E26" s="239" t="s">
        <v>0</v>
      </c>
      <c r="F26" s="235">
        <v>1</v>
      </c>
      <c r="G26" s="236">
        <v>1.8</v>
      </c>
      <c r="H26" s="236"/>
      <c r="I26" s="268">
        <v>2.75</v>
      </c>
      <c r="J26" s="235">
        <v>2</v>
      </c>
      <c r="K26" s="237"/>
      <c r="L26" s="237">
        <f t="shared" si="0"/>
        <v>9.9</v>
      </c>
      <c r="M26" s="111"/>
      <c r="N26" s="111"/>
      <c r="O26" s="111"/>
      <c r="P26" s="111"/>
    </row>
    <row r="27" spans="1:16" x14ac:dyDescent="0.3">
      <c r="C27" s="114"/>
      <c r="D27" s="266" t="s">
        <v>565</v>
      </c>
      <c r="E27" s="269" t="s">
        <v>0</v>
      </c>
      <c r="F27" s="270">
        <v>1</v>
      </c>
      <c r="G27" s="268">
        <f>2.05+0.45</f>
        <v>2.5</v>
      </c>
      <c r="H27" s="268"/>
      <c r="I27" s="268">
        <v>2.5499999999999998</v>
      </c>
      <c r="J27" s="270">
        <v>2</v>
      </c>
      <c r="K27" s="268"/>
      <c r="L27" s="268">
        <f t="shared" si="0"/>
        <v>12.75</v>
      </c>
      <c r="M27" s="111"/>
      <c r="N27" s="111"/>
      <c r="O27" s="111"/>
      <c r="P27" s="111"/>
    </row>
    <row r="28" spans="1:16" x14ac:dyDescent="0.3">
      <c r="C28" s="114"/>
      <c r="D28" s="258" t="s">
        <v>566</v>
      </c>
      <c r="E28" s="239" t="s">
        <v>0</v>
      </c>
      <c r="F28" s="235">
        <v>1</v>
      </c>
      <c r="G28" s="236">
        <v>1.68</v>
      </c>
      <c r="H28" s="236"/>
      <c r="I28" s="268">
        <v>2.75</v>
      </c>
      <c r="J28" s="235">
        <v>2</v>
      </c>
      <c r="K28" s="237"/>
      <c r="L28" s="237">
        <f t="shared" si="0"/>
        <v>9.24</v>
      </c>
      <c r="M28" s="111"/>
      <c r="N28" s="111"/>
      <c r="O28" s="111"/>
      <c r="P28" s="111"/>
    </row>
    <row r="29" spans="1:16" x14ac:dyDescent="0.3">
      <c r="C29" s="114"/>
      <c r="D29" s="266" t="s">
        <v>567</v>
      </c>
      <c r="E29" s="269" t="s">
        <v>0</v>
      </c>
      <c r="F29" s="270">
        <v>1</v>
      </c>
      <c r="G29" s="268">
        <v>1.8</v>
      </c>
      <c r="H29" s="268"/>
      <c r="I29" s="268">
        <v>2.75</v>
      </c>
      <c r="J29" s="270">
        <v>2</v>
      </c>
      <c r="K29" s="268"/>
      <c r="L29" s="268">
        <f t="shared" si="0"/>
        <v>9.9</v>
      </c>
      <c r="M29" s="111"/>
      <c r="N29" s="111"/>
      <c r="O29" s="111"/>
      <c r="P29" s="111"/>
    </row>
    <row r="30" spans="1:16" x14ac:dyDescent="0.3">
      <c r="C30" s="114"/>
      <c r="D30" s="266" t="s">
        <v>567</v>
      </c>
      <c r="E30" s="269" t="s">
        <v>0</v>
      </c>
      <c r="F30" s="270">
        <v>1</v>
      </c>
      <c r="G30" s="268">
        <v>2</v>
      </c>
      <c r="H30" s="268"/>
      <c r="I30" s="268">
        <v>1.95</v>
      </c>
      <c r="J30" s="270">
        <v>2</v>
      </c>
      <c r="K30" s="268"/>
      <c r="L30" s="268">
        <f t="shared" si="0"/>
        <v>7.8</v>
      </c>
      <c r="M30" s="111"/>
      <c r="N30" s="111"/>
      <c r="O30" s="111"/>
      <c r="P30" s="111"/>
    </row>
    <row r="31" spans="1:16" x14ac:dyDescent="0.3">
      <c r="C31" s="114"/>
      <c r="D31" s="266" t="s">
        <v>567</v>
      </c>
      <c r="E31" s="269" t="s">
        <v>0</v>
      </c>
      <c r="F31" s="270">
        <v>1</v>
      </c>
      <c r="G31" s="268">
        <v>1.1399999999999999</v>
      </c>
      <c r="H31" s="268"/>
      <c r="I31" s="268">
        <v>2.75</v>
      </c>
      <c r="J31" s="270">
        <v>2</v>
      </c>
      <c r="K31" s="268"/>
      <c r="L31" s="268">
        <f t="shared" si="0"/>
        <v>6.27</v>
      </c>
      <c r="M31" s="111"/>
      <c r="N31" s="111"/>
      <c r="O31" s="111"/>
      <c r="P31" s="111"/>
    </row>
    <row r="32" spans="1:16" x14ac:dyDescent="0.3">
      <c r="C32" s="114"/>
      <c r="D32" s="258" t="s">
        <v>568</v>
      </c>
      <c r="E32" s="239" t="s">
        <v>0</v>
      </c>
      <c r="F32" s="235">
        <v>1</v>
      </c>
      <c r="G32" s="236">
        <v>1.2</v>
      </c>
      <c r="H32" s="236"/>
      <c r="I32" s="268">
        <v>2.75</v>
      </c>
      <c r="J32" s="235">
        <v>2</v>
      </c>
      <c r="K32" s="237"/>
      <c r="L32" s="237">
        <f t="shared" si="0"/>
        <v>6.6</v>
      </c>
      <c r="M32" s="111"/>
      <c r="N32" s="111"/>
      <c r="O32" s="111"/>
      <c r="P32" s="111"/>
    </row>
    <row r="33" spans="3:16" x14ac:dyDescent="0.3">
      <c r="C33" s="114"/>
      <c r="D33" s="258" t="s">
        <v>568</v>
      </c>
      <c r="E33" s="239" t="s">
        <v>0</v>
      </c>
      <c r="F33" s="235">
        <v>1</v>
      </c>
      <c r="G33" s="236">
        <v>0.8</v>
      </c>
      <c r="H33" s="236"/>
      <c r="I33" s="268">
        <v>2.75</v>
      </c>
      <c r="J33" s="235">
        <v>2</v>
      </c>
      <c r="K33" s="237"/>
      <c r="L33" s="237">
        <f t="shared" si="0"/>
        <v>4.4000000000000004</v>
      </c>
      <c r="M33" s="111"/>
      <c r="N33" s="111"/>
      <c r="O33" s="111"/>
      <c r="P33" s="111"/>
    </row>
    <row r="34" spans="3:16" x14ac:dyDescent="0.3">
      <c r="C34" s="106"/>
      <c r="D34" s="120" t="s">
        <v>127</v>
      </c>
      <c r="E34" s="144"/>
      <c r="F34" s="3"/>
      <c r="G34" s="122"/>
      <c r="H34" s="122"/>
      <c r="I34" s="122"/>
      <c r="J34" s="3"/>
      <c r="K34" s="113"/>
      <c r="L34" s="113"/>
      <c r="M34" s="113"/>
      <c r="N34" s="113"/>
      <c r="O34" s="113"/>
      <c r="P34" s="113"/>
    </row>
    <row r="35" spans="3:16" x14ac:dyDescent="0.3">
      <c r="C35" s="114"/>
      <c r="D35" s="266" t="s">
        <v>569</v>
      </c>
      <c r="E35" s="269" t="s">
        <v>0</v>
      </c>
      <c r="F35" s="270">
        <v>1</v>
      </c>
      <c r="G35" s="268">
        <v>0.85</v>
      </c>
      <c r="H35" s="268"/>
      <c r="I35" s="268">
        <v>3</v>
      </c>
      <c r="J35" s="270">
        <v>2</v>
      </c>
      <c r="K35" s="268"/>
      <c r="L35" s="268">
        <f>IF(F35="","",PRODUCT(F35:J35))</f>
        <v>5.0999999999999996</v>
      </c>
      <c r="M35" s="111"/>
      <c r="N35" s="111"/>
      <c r="O35" s="111"/>
      <c r="P35" s="111"/>
    </row>
    <row r="36" spans="3:16" x14ac:dyDescent="0.3">
      <c r="C36" s="114"/>
      <c r="D36" s="266" t="s">
        <v>570</v>
      </c>
      <c r="E36" s="269" t="s">
        <v>0</v>
      </c>
      <c r="F36" s="270">
        <v>1</v>
      </c>
      <c r="G36" s="268">
        <v>1.1499999999999999</v>
      </c>
      <c r="H36" s="268"/>
      <c r="I36" s="268">
        <v>3</v>
      </c>
      <c r="J36" s="270">
        <v>2</v>
      </c>
      <c r="K36" s="268"/>
      <c r="L36" s="268">
        <f>IF(F36="","",PRODUCT(F36:J36))</f>
        <v>6.8999999999999995</v>
      </c>
      <c r="M36" s="111"/>
      <c r="N36" s="111"/>
      <c r="O36" s="111"/>
      <c r="P36" s="111"/>
    </row>
    <row r="37" spans="3:16" x14ac:dyDescent="0.3">
      <c r="C37" s="114"/>
      <c r="D37" s="266" t="s">
        <v>570</v>
      </c>
      <c r="E37" s="269" t="s">
        <v>0</v>
      </c>
      <c r="F37" s="270">
        <v>1</v>
      </c>
      <c r="G37" s="268">
        <v>1</v>
      </c>
      <c r="H37" s="268"/>
      <c r="I37" s="268">
        <v>1</v>
      </c>
      <c r="J37" s="270">
        <v>2</v>
      </c>
      <c r="K37" s="268"/>
      <c r="L37" s="268">
        <f>IF(F37="","",PRODUCT(F37:J37))</f>
        <v>2</v>
      </c>
      <c r="M37" s="111"/>
      <c r="N37" s="111"/>
      <c r="O37" s="111"/>
      <c r="P37" s="111"/>
    </row>
    <row r="38" spans="3:16" x14ac:dyDescent="0.3">
      <c r="C38" s="114"/>
      <c r="D38" s="266" t="s">
        <v>570</v>
      </c>
      <c r="E38" s="269" t="s">
        <v>0</v>
      </c>
      <c r="F38" s="270">
        <v>1</v>
      </c>
      <c r="G38" s="268">
        <v>1</v>
      </c>
      <c r="H38" s="268"/>
      <c r="I38" s="268">
        <v>3</v>
      </c>
      <c r="J38" s="270">
        <v>2</v>
      </c>
      <c r="K38" s="268"/>
      <c r="L38" s="268">
        <f>IF(F38="","",PRODUCT(F38:J38))</f>
        <v>6</v>
      </c>
      <c r="M38" s="111"/>
      <c r="N38" s="111"/>
      <c r="O38" s="111"/>
      <c r="P38" s="111"/>
    </row>
    <row r="39" spans="3:16" x14ac:dyDescent="0.3">
      <c r="C39" s="106"/>
      <c r="D39" s="120" t="s">
        <v>106</v>
      </c>
      <c r="E39" s="144"/>
      <c r="F39" s="3"/>
      <c r="G39" s="122"/>
      <c r="H39" s="122"/>
      <c r="I39" s="122"/>
      <c r="J39" s="3"/>
      <c r="K39" s="113"/>
      <c r="L39" s="113"/>
      <c r="M39" s="113"/>
      <c r="N39" s="113"/>
      <c r="O39" s="113"/>
      <c r="P39" s="113"/>
    </row>
    <row r="40" spans="3:16" x14ac:dyDescent="0.3">
      <c r="C40" s="114"/>
      <c r="D40" s="266" t="s">
        <v>565</v>
      </c>
      <c r="E40" s="269" t="s">
        <v>0</v>
      </c>
      <c r="F40" s="270">
        <v>1</v>
      </c>
      <c r="G40" s="268">
        <v>7.65</v>
      </c>
      <c r="H40" s="268"/>
      <c r="I40" s="268">
        <v>2.65</v>
      </c>
      <c r="J40" s="270">
        <v>2</v>
      </c>
      <c r="K40" s="268"/>
      <c r="L40" s="268">
        <f>IF(F40="","",PRODUCT(F40:J40))</f>
        <v>40.545000000000002</v>
      </c>
      <c r="M40" s="111"/>
      <c r="N40" s="111"/>
      <c r="O40" s="111"/>
      <c r="P40" s="111"/>
    </row>
    <row r="41" spans="3:16" x14ac:dyDescent="0.3">
      <c r="C41" s="114"/>
      <c r="D41" s="266" t="s">
        <v>571</v>
      </c>
      <c r="E41" s="269" t="s">
        <v>0</v>
      </c>
      <c r="F41" s="270">
        <v>1</v>
      </c>
      <c r="G41" s="268">
        <v>4.3499999999999996</v>
      </c>
      <c r="H41" s="268"/>
      <c r="I41" s="268">
        <v>3.5</v>
      </c>
      <c r="J41" s="270">
        <v>2</v>
      </c>
      <c r="K41" s="268"/>
      <c r="L41" s="268">
        <f>IF(F41="","",PRODUCT(F41:J41))</f>
        <v>30.449999999999996</v>
      </c>
      <c r="M41" s="111"/>
      <c r="N41" s="111"/>
      <c r="O41" s="111"/>
      <c r="P41" s="111"/>
    </row>
    <row r="42" spans="3:16" x14ac:dyDescent="0.3">
      <c r="C42" s="106"/>
      <c r="D42" s="120"/>
      <c r="E42" s="144"/>
      <c r="F42" s="3"/>
      <c r="G42" s="122"/>
      <c r="H42" s="122"/>
      <c r="I42" s="122"/>
      <c r="J42" s="3"/>
      <c r="K42" s="113"/>
      <c r="L42" s="113"/>
      <c r="M42" s="113"/>
      <c r="N42" s="113"/>
      <c r="O42" s="113"/>
      <c r="P42" s="113"/>
    </row>
    <row r="43" spans="3:16" x14ac:dyDescent="0.3">
      <c r="C43" s="118"/>
      <c r="D43" s="137" t="s">
        <v>572</v>
      </c>
      <c r="E43" s="138"/>
      <c r="F43" s="1"/>
      <c r="G43" s="2"/>
      <c r="H43" s="2"/>
      <c r="I43" s="2"/>
      <c r="J43" s="3"/>
      <c r="K43" s="113"/>
      <c r="L43" s="113"/>
      <c r="M43" s="113"/>
      <c r="N43" s="113"/>
      <c r="O43" s="113"/>
      <c r="P43" s="113"/>
    </row>
    <row r="44" spans="3:16" x14ac:dyDescent="0.3">
      <c r="C44" s="106"/>
      <c r="D44" s="120" t="s">
        <v>123</v>
      </c>
      <c r="E44" s="144"/>
      <c r="F44" s="3"/>
      <c r="G44" s="122"/>
      <c r="H44" s="122"/>
      <c r="I44" s="122"/>
      <c r="J44" s="3"/>
      <c r="K44" s="113"/>
      <c r="L44" s="113"/>
      <c r="M44" s="113"/>
      <c r="N44" s="113"/>
      <c r="O44" s="113"/>
      <c r="P44" s="113"/>
    </row>
    <row r="45" spans="3:16" x14ac:dyDescent="0.3">
      <c r="C45" s="114"/>
      <c r="D45" s="266" t="s">
        <v>573</v>
      </c>
      <c r="E45" s="269" t="s">
        <v>0</v>
      </c>
      <c r="F45" s="270">
        <v>1</v>
      </c>
      <c r="G45" s="268">
        <v>0.9</v>
      </c>
      <c r="H45" s="268"/>
      <c r="I45" s="268">
        <v>1.5</v>
      </c>
      <c r="J45" s="270">
        <v>2</v>
      </c>
      <c r="K45" s="268"/>
      <c r="L45" s="268">
        <f t="shared" ref="L45:L51" si="1">IF(F45="","",PRODUCT(F45:J45))</f>
        <v>2.7</v>
      </c>
      <c r="M45" s="111"/>
      <c r="N45" s="111"/>
      <c r="O45" s="111"/>
      <c r="P45" s="111"/>
    </row>
    <row r="46" spans="3:16" x14ac:dyDescent="0.3">
      <c r="C46" s="114"/>
      <c r="D46" s="266" t="s">
        <v>574</v>
      </c>
      <c r="E46" s="269" t="s">
        <v>0</v>
      </c>
      <c r="F46" s="270">
        <v>1</v>
      </c>
      <c r="G46" s="268">
        <v>1.4</v>
      </c>
      <c r="H46" s="268"/>
      <c r="I46" s="268">
        <v>1.5</v>
      </c>
      <c r="J46" s="270">
        <v>1</v>
      </c>
      <c r="K46" s="268"/>
      <c r="L46" s="268">
        <f t="shared" si="1"/>
        <v>2.0999999999999996</v>
      </c>
      <c r="M46" s="111"/>
      <c r="N46" s="111"/>
      <c r="O46" s="111"/>
      <c r="P46" s="111"/>
    </row>
    <row r="47" spans="3:16" x14ac:dyDescent="0.3">
      <c r="C47" s="114"/>
      <c r="D47" s="266" t="s">
        <v>574</v>
      </c>
      <c r="E47" s="269" t="s">
        <v>0</v>
      </c>
      <c r="F47" s="270">
        <v>1</v>
      </c>
      <c r="G47" s="268">
        <v>0.15</v>
      </c>
      <c r="H47" s="268"/>
      <c r="I47" s="268">
        <v>2.75</v>
      </c>
      <c r="J47" s="270">
        <v>1</v>
      </c>
      <c r="K47" s="268"/>
      <c r="L47" s="268">
        <f t="shared" si="1"/>
        <v>0.41249999999999998</v>
      </c>
      <c r="M47" s="111"/>
      <c r="N47" s="111"/>
      <c r="O47" s="111"/>
      <c r="P47" s="111"/>
    </row>
    <row r="48" spans="3:16" x14ac:dyDescent="0.3">
      <c r="C48" s="114"/>
      <c r="D48" s="266" t="s">
        <v>575</v>
      </c>
      <c r="E48" s="269" t="s">
        <v>0</v>
      </c>
      <c r="F48" s="270">
        <v>1</v>
      </c>
      <c r="G48" s="268">
        <v>3.4</v>
      </c>
      <c r="H48" s="268"/>
      <c r="I48" s="268">
        <v>1.5</v>
      </c>
      <c r="J48" s="270">
        <v>1</v>
      </c>
      <c r="K48" s="268"/>
      <c r="L48" s="268">
        <f t="shared" si="1"/>
        <v>5.0999999999999996</v>
      </c>
      <c r="M48" s="111"/>
      <c r="N48" s="111"/>
      <c r="O48" s="111"/>
      <c r="P48" s="111"/>
    </row>
    <row r="49" spans="3:16" x14ac:dyDescent="0.3">
      <c r="C49" s="114"/>
      <c r="D49" s="266" t="s">
        <v>576</v>
      </c>
      <c r="E49" s="269" t="s">
        <v>0</v>
      </c>
      <c r="F49" s="270">
        <v>1</v>
      </c>
      <c r="G49" s="268">
        <v>3.4</v>
      </c>
      <c r="H49" s="268"/>
      <c r="I49" s="268">
        <v>1.5</v>
      </c>
      <c r="J49" s="270">
        <v>1</v>
      </c>
      <c r="K49" s="268"/>
      <c r="L49" s="268">
        <f t="shared" si="1"/>
        <v>5.0999999999999996</v>
      </c>
      <c r="M49" s="111"/>
      <c r="N49" s="111"/>
      <c r="O49" s="111"/>
      <c r="P49" s="111"/>
    </row>
    <row r="50" spans="3:16" x14ac:dyDescent="0.3">
      <c r="C50" s="114"/>
      <c r="D50" s="266" t="s">
        <v>577</v>
      </c>
      <c r="E50" s="269" t="s">
        <v>0</v>
      </c>
      <c r="F50" s="270">
        <v>1</v>
      </c>
      <c r="G50" s="268">
        <v>3.37</v>
      </c>
      <c r="H50" s="268"/>
      <c r="I50" s="268">
        <v>1.5</v>
      </c>
      <c r="J50" s="270">
        <v>1</v>
      </c>
      <c r="K50" s="268"/>
      <c r="L50" s="268">
        <f t="shared" si="1"/>
        <v>5.0549999999999997</v>
      </c>
      <c r="M50" s="111"/>
      <c r="N50" s="111"/>
      <c r="O50" s="111"/>
      <c r="P50" s="111"/>
    </row>
    <row r="51" spans="3:16" x14ac:dyDescent="0.3">
      <c r="C51" s="114"/>
      <c r="D51" s="266" t="s">
        <v>578</v>
      </c>
      <c r="E51" s="269" t="s">
        <v>0</v>
      </c>
      <c r="F51" s="270">
        <v>1</v>
      </c>
      <c r="G51" s="268">
        <v>1.66</v>
      </c>
      <c r="H51" s="268"/>
      <c r="I51" s="268">
        <v>2</v>
      </c>
      <c r="J51" s="270">
        <v>1</v>
      </c>
      <c r="K51" s="268"/>
      <c r="L51" s="268">
        <f t="shared" si="1"/>
        <v>3.32</v>
      </c>
      <c r="M51" s="111"/>
      <c r="N51" s="111"/>
      <c r="O51" s="111"/>
      <c r="P51" s="111"/>
    </row>
    <row r="52" spans="3:16" x14ac:dyDescent="0.3">
      <c r="C52" s="106"/>
      <c r="D52" s="115" t="s">
        <v>127</v>
      </c>
      <c r="E52" s="121"/>
      <c r="F52" s="3"/>
      <c r="G52" s="122"/>
      <c r="H52" s="122"/>
      <c r="I52" s="122"/>
      <c r="J52" s="3"/>
      <c r="K52" s="113"/>
      <c r="L52" s="113"/>
      <c r="M52" s="113"/>
      <c r="N52" s="113"/>
      <c r="O52" s="113"/>
      <c r="P52" s="113"/>
    </row>
    <row r="53" spans="3:16" x14ac:dyDescent="0.3">
      <c r="C53" s="114"/>
      <c r="D53" s="266" t="s">
        <v>579</v>
      </c>
      <c r="E53" s="269" t="s">
        <v>0</v>
      </c>
      <c r="F53" s="270">
        <v>1</v>
      </c>
      <c r="G53" s="268">
        <f>1.35+0.15</f>
        <v>1.5</v>
      </c>
      <c r="H53" s="268"/>
      <c r="I53" s="268">
        <v>1.71</v>
      </c>
      <c r="J53" s="270">
        <v>1</v>
      </c>
      <c r="K53" s="268"/>
      <c r="L53" s="268">
        <f t="shared" ref="L53:L64" si="2">IF(F53="","",PRODUCT(F53:J53))</f>
        <v>2.5649999999999999</v>
      </c>
      <c r="M53" s="111"/>
      <c r="N53" s="111"/>
      <c r="O53" s="111"/>
      <c r="P53" s="111"/>
    </row>
    <row r="54" spans="3:16" x14ac:dyDescent="0.3">
      <c r="C54" s="114"/>
      <c r="D54" s="266" t="s">
        <v>579</v>
      </c>
      <c r="E54" s="269" t="s">
        <v>0</v>
      </c>
      <c r="F54" s="270">
        <v>1</v>
      </c>
      <c r="G54" s="268">
        <v>2.1</v>
      </c>
      <c r="H54" s="268"/>
      <c r="I54" s="268">
        <v>1.46</v>
      </c>
      <c r="J54" s="270">
        <v>1</v>
      </c>
      <c r="K54" s="268"/>
      <c r="L54" s="268">
        <f t="shared" si="2"/>
        <v>3.0659999999999998</v>
      </c>
      <c r="M54" s="111"/>
      <c r="N54" s="111"/>
      <c r="O54" s="111"/>
      <c r="P54" s="111"/>
    </row>
    <row r="55" spans="3:16" x14ac:dyDescent="0.3">
      <c r="C55" s="114"/>
      <c r="D55" s="266" t="s">
        <v>578</v>
      </c>
      <c r="E55" s="269" t="s">
        <v>0</v>
      </c>
      <c r="F55" s="270">
        <v>1</v>
      </c>
      <c r="G55" s="268">
        <v>3.6</v>
      </c>
      <c r="H55" s="268"/>
      <c r="I55" s="268">
        <v>3.19</v>
      </c>
      <c r="J55" s="270">
        <v>1</v>
      </c>
      <c r="K55" s="268"/>
      <c r="L55" s="268">
        <f t="shared" si="2"/>
        <v>11.484</v>
      </c>
      <c r="M55" s="111"/>
      <c r="N55" s="111"/>
      <c r="O55" s="111"/>
      <c r="P55" s="111"/>
    </row>
    <row r="56" spans="3:16" x14ac:dyDescent="0.3">
      <c r="C56" s="114"/>
      <c r="D56" s="266" t="s">
        <v>580</v>
      </c>
      <c r="E56" s="269" t="s">
        <v>0</v>
      </c>
      <c r="F56" s="270">
        <v>1</v>
      </c>
      <c r="G56" s="268">
        <v>3.38</v>
      </c>
      <c r="H56" s="268"/>
      <c r="I56" s="268">
        <v>3.02</v>
      </c>
      <c r="J56" s="270">
        <v>1</v>
      </c>
      <c r="K56" s="268"/>
      <c r="L56" s="268">
        <f t="shared" si="2"/>
        <v>10.207599999999999</v>
      </c>
      <c r="M56" s="111"/>
      <c r="N56" s="111"/>
      <c r="O56" s="111"/>
      <c r="P56" s="111"/>
    </row>
    <row r="57" spans="3:16" x14ac:dyDescent="0.3">
      <c r="C57" s="114"/>
      <c r="D57" s="233" t="s">
        <v>581</v>
      </c>
      <c r="E57" s="234" t="s">
        <v>0</v>
      </c>
      <c r="F57" s="235">
        <v>1</v>
      </c>
      <c r="G57" s="236">
        <v>3.4</v>
      </c>
      <c r="H57" s="236"/>
      <c r="I57" s="268">
        <v>3.02</v>
      </c>
      <c r="J57" s="235">
        <v>1</v>
      </c>
      <c r="K57" s="237"/>
      <c r="L57" s="237">
        <f t="shared" si="2"/>
        <v>10.267999999999999</v>
      </c>
      <c r="M57" s="111"/>
      <c r="N57" s="111"/>
      <c r="O57" s="111"/>
      <c r="P57" s="111"/>
    </row>
    <row r="58" spans="3:16" x14ac:dyDescent="0.3">
      <c r="C58" s="114"/>
      <c r="D58" s="266" t="s">
        <v>582</v>
      </c>
      <c r="E58" s="269" t="s">
        <v>0</v>
      </c>
      <c r="F58" s="270">
        <v>1</v>
      </c>
      <c r="G58" s="268">
        <v>3.4</v>
      </c>
      <c r="H58" s="268"/>
      <c r="I58" s="268">
        <v>3.02</v>
      </c>
      <c r="J58" s="270">
        <v>1</v>
      </c>
      <c r="K58" s="268"/>
      <c r="L58" s="268">
        <f t="shared" si="2"/>
        <v>10.267999999999999</v>
      </c>
      <c r="M58" s="111"/>
      <c r="N58" s="111"/>
      <c r="O58" s="111"/>
      <c r="P58" s="111"/>
    </row>
    <row r="59" spans="3:16" x14ac:dyDescent="0.3">
      <c r="C59" s="114"/>
      <c r="D59" s="266" t="s">
        <v>583</v>
      </c>
      <c r="E59" s="269" t="s">
        <v>0</v>
      </c>
      <c r="F59" s="270">
        <v>1</v>
      </c>
      <c r="G59" s="268">
        <v>0.95</v>
      </c>
      <c r="H59" s="268"/>
      <c r="I59" s="268">
        <v>3.02</v>
      </c>
      <c r="J59" s="270">
        <v>1</v>
      </c>
      <c r="K59" s="268"/>
      <c r="L59" s="268">
        <f t="shared" si="2"/>
        <v>2.8689999999999998</v>
      </c>
      <c r="M59" s="111"/>
      <c r="N59" s="111"/>
      <c r="O59" s="111"/>
      <c r="P59" s="111"/>
    </row>
    <row r="60" spans="3:16" x14ac:dyDescent="0.3">
      <c r="C60" s="114"/>
      <c r="D60" s="266" t="s">
        <v>584</v>
      </c>
      <c r="E60" s="269" t="s">
        <v>0</v>
      </c>
      <c r="F60" s="270">
        <v>1</v>
      </c>
      <c r="G60" s="268">
        <v>0.95</v>
      </c>
      <c r="H60" s="268"/>
      <c r="I60" s="268">
        <v>3.02</v>
      </c>
      <c r="J60" s="270">
        <v>1</v>
      </c>
      <c r="K60" s="268"/>
      <c r="L60" s="268">
        <f t="shared" si="2"/>
        <v>2.8689999999999998</v>
      </c>
      <c r="M60" s="111"/>
      <c r="N60" s="111"/>
      <c r="O60" s="111"/>
      <c r="P60" s="111"/>
    </row>
    <row r="61" spans="3:16" x14ac:dyDescent="0.3">
      <c r="C61" s="114"/>
      <c r="D61" s="233" t="s">
        <v>585</v>
      </c>
      <c r="E61" s="234" t="s">
        <v>0</v>
      </c>
      <c r="F61" s="235">
        <v>1</v>
      </c>
      <c r="G61" s="236">
        <v>3.4</v>
      </c>
      <c r="H61" s="236"/>
      <c r="I61" s="268">
        <v>3.02</v>
      </c>
      <c r="J61" s="235">
        <v>1</v>
      </c>
      <c r="K61" s="237"/>
      <c r="L61" s="237">
        <f t="shared" si="2"/>
        <v>10.267999999999999</v>
      </c>
      <c r="M61" s="111"/>
      <c r="N61" s="111"/>
      <c r="O61" s="111"/>
      <c r="P61" s="111"/>
    </row>
    <row r="62" spans="3:16" x14ac:dyDescent="0.3">
      <c r="C62" s="114"/>
      <c r="D62" s="233" t="s">
        <v>586</v>
      </c>
      <c r="E62" s="234" t="s">
        <v>0</v>
      </c>
      <c r="F62" s="235">
        <v>1</v>
      </c>
      <c r="G62" s="236">
        <v>3.4</v>
      </c>
      <c r="H62" s="236"/>
      <c r="I62" s="268">
        <v>3.02</v>
      </c>
      <c r="J62" s="235">
        <v>1</v>
      </c>
      <c r="K62" s="237"/>
      <c r="L62" s="237">
        <f t="shared" si="2"/>
        <v>10.267999999999999</v>
      </c>
      <c r="M62" s="111"/>
      <c r="N62" s="111"/>
      <c r="O62" s="111"/>
      <c r="P62" s="111"/>
    </row>
    <row r="63" spans="3:16" x14ac:dyDescent="0.3">
      <c r="C63" s="114"/>
      <c r="D63" s="266" t="s">
        <v>587</v>
      </c>
      <c r="E63" s="269" t="s">
        <v>0</v>
      </c>
      <c r="F63" s="270">
        <v>1</v>
      </c>
      <c r="G63" s="268">
        <v>0.94</v>
      </c>
      <c r="H63" s="268"/>
      <c r="I63" s="268">
        <v>3.02</v>
      </c>
      <c r="J63" s="270">
        <v>1</v>
      </c>
      <c r="K63" s="268"/>
      <c r="L63" s="268">
        <f t="shared" si="2"/>
        <v>2.8388</v>
      </c>
      <c r="M63" s="111"/>
      <c r="N63" s="111"/>
      <c r="O63" s="111"/>
      <c r="P63" s="111"/>
    </row>
    <row r="64" spans="3:16" x14ac:dyDescent="0.3">
      <c r="C64" s="114"/>
      <c r="D64" s="266" t="s">
        <v>588</v>
      </c>
      <c r="E64" s="269" t="s">
        <v>0</v>
      </c>
      <c r="F64" s="270">
        <v>1</v>
      </c>
      <c r="G64" s="268">
        <v>0.94</v>
      </c>
      <c r="H64" s="268"/>
      <c r="I64" s="268">
        <v>3.02</v>
      </c>
      <c r="J64" s="270">
        <v>1</v>
      </c>
      <c r="K64" s="268"/>
      <c r="L64" s="268">
        <f t="shared" si="2"/>
        <v>2.8388</v>
      </c>
      <c r="M64" s="111"/>
      <c r="N64" s="111"/>
      <c r="O64" s="111"/>
      <c r="P64" s="111"/>
    </row>
    <row r="65" spans="3:16" x14ac:dyDescent="0.3">
      <c r="C65" s="106"/>
      <c r="D65" s="115" t="s">
        <v>68</v>
      </c>
      <c r="E65" s="121"/>
      <c r="F65" s="3"/>
      <c r="G65" s="122"/>
      <c r="H65" s="122"/>
      <c r="I65" s="122"/>
      <c r="J65" s="3"/>
      <c r="K65" s="113"/>
      <c r="L65" s="113"/>
      <c r="M65" s="113"/>
      <c r="N65" s="113"/>
      <c r="O65" s="113"/>
      <c r="P65" s="113"/>
    </row>
    <row r="66" spans="3:16" x14ac:dyDescent="0.3">
      <c r="C66" s="271"/>
      <c r="D66" s="233" t="s">
        <v>579</v>
      </c>
      <c r="E66" s="234" t="s">
        <v>0</v>
      </c>
      <c r="F66" s="235">
        <v>1</v>
      </c>
      <c r="G66" s="236">
        <v>4.8</v>
      </c>
      <c r="H66" s="236"/>
      <c r="I66" s="236">
        <v>2.65</v>
      </c>
      <c r="J66" s="235">
        <v>1</v>
      </c>
      <c r="K66" s="272"/>
      <c r="L66" s="268">
        <f t="shared" ref="L66:L76" si="3">IF(F66="","",PRODUCT(F66:J66))</f>
        <v>12.719999999999999</v>
      </c>
      <c r="M66" s="273"/>
      <c r="N66" s="273"/>
      <c r="O66" s="273"/>
      <c r="P66" s="273"/>
    </row>
    <row r="67" spans="3:16" x14ac:dyDescent="0.3">
      <c r="C67" s="114"/>
      <c r="D67" s="233" t="s">
        <v>578</v>
      </c>
      <c r="E67" s="234" t="s">
        <v>0</v>
      </c>
      <c r="F67" s="235">
        <v>1</v>
      </c>
      <c r="G67" s="236">
        <v>3.6</v>
      </c>
      <c r="H67" s="236"/>
      <c r="I67" s="236">
        <v>2.25</v>
      </c>
      <c r="J67" s="235">
        <v>1</v>
      </c>
      <c r="K67" s="237"/>
      <c r="L67" s="237">
        <f t="shared" si="3"/>
        <v>8.1</v>
      </c>
      <c r="M67" s="111"/>
      <c r="N67" s="111"/>
      <c r="O67" s="111"/>
      <c r="P67" s="111"/>
    </row>
    <row r="68" spans="3:16" x14ac:dyDescent="0.3">
      <c r="C68" s="114"/>
      <c r="D68" s="266" t="s">
        <v>580</v>
      </c>
      <c r="E68" s="269" t="s">
        <v>0</v>
      </c>
      <c r="F68" s="270">
        <v>1</v>
      </c>
      <c r="G68" s="268">
        <v>3.38</v>
      </c>
      <c r="H68" s="268"/>
      <c r="I68" s="268">
        <v>3.02</v>
      </c>
      <c r="J68" s="270">
        <v>1</v>
      </c>
      <c r="K68" s="268"/>
      <c r="L68" s="268">
        <f t="shared" si="3"/>
        <v>10.207599999999999</v>
      </c>
      <c r="M68" s="111"/>
      <c r="N68" s="111"/>
      <c r="O68" s="111"/>
      <c r="P68" s="111"/>
    </row>
    <row r="69" spans="3:16" x14ac:dyDescent="0.3">
      <c r="C69" s="114"/>
      <c r="D69" s="266" t="s">
        <v>581</v>
      </c>
      <c r="E69" s="269" t="s">
        <v>0</v>
      </c>
      <c r="F69" s="270">
        <v>1</v>
      </c>
      <c r="G69" s="268">
        <v>3.4</v>
      </c>
      <c r="H69" s="268"/>
      <c r="I69" s="268">
        <v>3.02</v>
      </c>
      <c r="J69" s="270">
        <v>1</v>
      </c>
      <c r="K69" s="268"/>
      <c r="L69" s="268">
        <f t="shared" si="3"/>
        <v>10.267999999999999</v>
      </c>
      <c r="M69" s="111"/>
      <c r="N69" s="111"/>
      <c r="O69" s="111"/>
      <c r="P69" s="111"/>
    </row>
    <row r="70" spans="3:16" x14ac:dyDescent="0.3">
      <c r="C70" s="114"/>
      <c r="D70" s="266" t="s">
        <v>582</v>
      </c>
      <c r="E70" s="269" t="s">
        <v>0</v>
      </c>
      <c r="F70" s="270">
        <v>1</v>
      </c>
      <c r="G70" s="268">
        <v>3.4</v>
      </c>
      <c r="H70" s="268"/>
      <c r="I70" s="268">
        <v>3.02</v>
      </c>
      <c r="J70" s="270">
        <v>1</v>
      </c>
      <c r="K70" s="268"/>
      <c r="L70" s="268">
        <f t="shared" si="3"/>
        <v>10.267999999999999</v>
      </c>
      <c r="M70" s="111"/>
      <c r="N70" s="111"/>
      <c r="O70" s="111"/>
      <c r="P70" s="111"/>
    </row>
    <row r="71" spans="3:16" x14ac:dyDescent="0.3">
      <c r="C71" s="114"/>
      <c r="D71" s="233" t="s">
        <v>589</v>
      </c>
      <c r="E71" s="234" t="s">
        <v>0</v>
      </c>
      <c r="F71" s="235">
        <v>1</v>
      </c>
      <c r="G71" s="236">
        <v>3.4</v>
      </c>
      <c r="H71" s="236"/>
      <c r="I71" s="268">
        <v>2.17</v>
      </c>
      <c r="J71" s="235">
        <v>1</v>
      </c>
      <c r="K71" s="237"/>
      <c r="L71" s="237">
        <f t="shared" si="3"/>
        <v>7.3779999999999992</v>
      </c>
      <c r="M71" s="111"/>
      <c r="N71" s="111"/>
      <c r="O71" s="111"/>
      <c r="P71" s="111"/>
    </row>
    <row r="72" spans="3:16" x14ac:dyDescent="0.3">
      <c r="C72" s="114"/>
      <c r="D72" s="233" t="s">
        <v>585</v>
      </c>
      <c r="E72" s="234" t="s">
        <v>0</v>
      </c>
      <c r="F72" s="235">
        <v>1</v>
      </c>
      <c r="G72" s="236">
        <v>3.4</v>
      </c>
      <c r="H72" s="236"/>
      <c r="I72" s="268">
        <v>2.17</v>
      </c>
      <c r="J72" s="235">
        <v>1</v>
      </c>
      <c r="K72" s="237"/>
      <c r="L72" s="237">
        <f t="shared" si="3"/>
        <v>7.3779999999999992</v>
      </c>
      <c r="M72" s="111"/>
      <c r="N72" s="111"/>
      <c r="O72" s="111"/>
      <c r="P72" s="111"/>
    </row>
    <row r="73" spans="3:16" x14ac:dyDescent="0.3">
      <c r="C73" s="114"/>
      <c r="D73" s="233" t="s">
        <v>586</v>
      </c>
      <c r="E73" s="234" t="s">
        <v>0</v>
      </c>
      <c r="F73" s="235">
        <v>1</v>
      </c>
      <c r="G73" s="236">
        <v>1</v>
      </c>
      <c r="H73" s="236"/>
      <c r="I73" s="268">
        <v>3.02</v>
      </c>
      <c r="J73" s="235">
        <v>1</v>
      </c>
      <c r="K73" s="237"/>
      <c r="L73" s="237">
        <f t="shared" si="3"/>
        <v>3.02</v>
      </c>
      <c r="M73" s="111"/>
      <c r="N73" s="111"/>
      <c r="O73" s="111"/>
      <c r="P73" s="111"/>
    </row>
    <row r="74" spans="3:16" x14ac:dyDescent="0.3">
      <c r="C74" s="114"/>
      <c r="D74" s="233" t="s">
        <v>586</v>
      </c>
      <c r="E74" s="234" t="s">
        <v>0</v>
      </c>
      <c r="F74" s="235">
        <v>1</v>
      </c>
      <c r="G74" s="236">
        <v>2.4</v>
      </c>
      <c r="H74" s="236"/>
      <c r="I74" s="268">
        <v>2.17</v>
      </c>
      <c r="J74" s="235">
        <v>1</v>
      </c>
      <c r="K74" s="237"/>
      <c r="L74" s="237">
        <f t="shared" si="3"/>
        <v>5.2079999999999993</v>
      </c>
      <c r="M74" s="111"/>
      <c r="N74" s="111"/>
      <c r="O74" s="111"/>
      <c r="P74" s="111"/>
    </row>
    <row r="75" spans="3:16" x14ac:dyDescent="0.3">
      <c r="C75" s="114"/>
      <c r="D75" s="266" t="s">
        <v>587</v>
      </c>
      <c r="E75" s="269" t="s">
        <v>0</v>
      </c>
      <c r="F75" s="270">
        <v>1</v>
      </c>
      <c r="G75" s="268">
        <v>0.97</v>
      </c>
      <c r="H75" s="268"/>
      <c r="I75" s="268">
        <v>3.02</v>
      </c>
      <c r="J75" s="270">
        <v>1</v>
      </c>
      <c r="K75" s="268"/>
      <c r="L75" s="268">
        <f t="shared" si="3"/>
        <v>2.9293999999999998</v>
      </c>
      <c r="M75" s="111"/>
      <c r="N75" s="111"/>
      <c r="O75" s="111"/>
      <c r="P75" s="111"/>
    </row>
    <row r="76" spans="3:16" x14ac:dyDescent="0.3">
      <c r="C76" s="114"/>
      <c r="D76" s="266" t="s">
        <v>588</v>
      </c>
      <c r="E76" s="269" t="s">
        <v>0</v>
      </c>
      <c r="F76" s="270">
        <v>1</v>
      </c>
      <c r="G76" s="268">
        <v>1.4</v>
      </c>
      <c r="H76" s="268"/>
      <c r="I76" s="268">
        <v>3.02</v>
      </c>
      <c r="J76" s="270">
        <v>1</v>
      </c>
      <c r="K76" s="268"/>
      <c r="L76" s="268">
        <f t="shared" si="3"/>
        <v>4.2279999999999998</v>
      </c>
      <c r="M76" s="111"/>
      <c r="N76" s="111"/>
      <c r="O76" s="111"/>
      <c r="P76" s="111"/>
    </row>
    <row r="77" spans="3:16" x14ac:dyDescent="0.3">
      <c r="C77" s="106"/>
      <c r="D77" s="115" t="s">
        <v>106</v>
      </c>
      <c r="E77" s="121"/>
      <c r="F77" s="3"/>
      <c r="G77" s="122"/>
      <c r="H77" s="122"/>
      <c r="I77" s="122"/>
      <c r="J77" s="3"/>
      <c r="K77" s="113"/>
      <c r="L77" s="113"/>
      <c r="M77" s="113"/>
      <c r="N77" s="113"/>
      <c r="O77" s="113"/>
      <c r="P77" s="113"/>
    </row>
    <row r="78" spans="3:16" x14ac:dyDescent="0.3">
      <c r="C78" s="114"/>
      <c r="D78" s="233" t="s">
        <v>579</v>
      </c>
      <c r="E78" s="239" t="s">
        <v>0</v>
      </c>
      <c r="F78" s="235">
        <v>1</v>
      </c>
      <c r="G78" s="236">
        <v>4.8</v>
      </c>
      <c r="H78" s="236"/>
      <c r="I78" s="268">
        <v>2.65</v>
      </c>
      <c r="J78" s="235">
        <v>1</v>
      </c>
      <c r="K78" s="237"/>
      <c r="L78" s="237">
        <f t="shared" ref="L78:L88" si="4">IF(F78="","",PRODUCT(F78:J78))</f>
        <v>12.719999999999999</v>
      </c>
      <c r="M78" s="111"/>
      <c r="N78" s="111"/>
      <c r="O78" s="111"/>
      <c r="P78" s="111"/>
    </row>
    <row r="79" spans="3:16" x14ac:dyDescent="0.3">
      <c r="C79" s="114"/>
      <c r="D79" s="233" t="s">
        <v>562</v>
      </c>
      <c r="E79" s="239" t="s">
        <v>0</v>
      </c>
      <c r="F79" s="235">
        <v>1</v>
      </c>
      <c r="G79" s="236">
        <v>8.9</v>
      </c>
      <c r="H79" s="236"/>
      <c r="I79" s="268">
        <v>2.65</v>
      </c>
      <c r="J79" s="235">
        <v>2</v>
      </c>
      <c r="K79" s="237"/>
      <c r="L79" s="237">
        <f t="shared" si="4"/>
        <v>47.17</v>
      </c>
      <c r="M79" s="111"/>
      <c r="N79" s="111"/>
      <c r="O79" s="111"/>
      <c r="P79" s="111"/>
    </row>
    <row r="80" spans="3:16" x14ac:dyDescent="0.3">
      <c r="C80" s="114"/>
      <c r="D80" s="233" t="s">
        <v>590</v>
      </c>
      <c r="E80" s="239" t="s">
        <v>0</v>
      </c>
      <c r="F80" s="235">
        <v>1</v>
      </c>
      <c r="G80" s="236">
        <v>8.9</v>
      </c>
      <c r="H80" s="236"/>
      <c r="I80" s="268">
        <v>2.65</v>
      </c>
      <c r="J80" s="235">
        <v>2</v>
      </c>
      <c r="K80" s="237"/>
      <c r="L80" s="237">
        <f t="shared" si="4"/>
        <v>47.17</v>
      </c>
      <c r="M80" s="111"/>
      <c r="N80" s="111"/>
      <c r="O80" s="111"/>
      <c r="P80" s="111"/>
    </row>
    <row r="81" spans="3:16" x14ac:dyDescent="0.3">
      <c r="C81" s="114"/>
      <c r="D81" s="233" t="s">
        <v>578</v>
      </c>
      <c r="E81" s="239" t="s">
        <v>0</v>
      </c>
      <c r="F81" s="235">
        <v>1</v>
      </c>
      <c r="G81" s="236">
        <v>3.6</v>
      </c>
      <c r="H81" s="236"/>
      <c r="I81" s="268">
        <v>2.65</v>
      </c>
      <c r="J81" s="235">
        <v>1</v>
      </c>
      <c r="K81" s="237"/>
      <c r="L81" s="237">
        <f t="shared" si="4"/>
        <v>9.5399999999999991</v>
      </c>
      <c r="M81" s="111"/>
      <c r="N81" s="111"/>
      <c r="O81" s="111"/>
      <c r="P81" s="111"/>
    </row>
    <row r="82" spans="3:16" x14ac:dyDescent="0.3">
      <c r="C82" s="114"/>
      <c r="D82" s="233" t="s">
        <v>580</v>
      </c>
      <c r="E82" s="239" t="s">
        <v>0</v>
      </c>
      <c r="F82" s="235">
        <v>2</v>
      </c>
      <c r="G82" s="236">
        <v>1.2</v>
      </c>
      <c r="H82" s="236"/>
      <c r="I82" s="236">
        <v>2.1</v>
      </c>
      <c r="J82" s="235">
        <v>1</v>
      </c>
      <c r="K82" s="237"/>
      <c r="L82" s="237">
        <f t="shared" si="4"/>
        <v>5.04</v>
      </c>
      <c r="M82" s="111"/>
      <c r="N82" s="111"/>
      <c r="O82" s="111"/>
      <c r="P82" s="111"/>
    </row>
    <row r="83" spans="3:16" x14ac:dyDescent="0.3">
      <c r="C83" s="114"/>
      <c r="D83" s="233" t="s">
        <v>581</v>
      </c>
      <c r="E83" s="239" t="s">
        <v>0</v>
      </c>
      <c r="F83" s="235">
        <v>2</v>
      </c>
      <c r="G83" s="236">
        <v>1.2</v>
      </c>
      <c r="H83" s="236"/>
      <c r="I83" s="236">
        <v>2.1</v>
      </c>
      <c r="J83" s="235">
        <v>1</v>
      </c>
      <c r="K83" s="237"/>
      <c r="L83" s="237">
        <f t="shared" si="4"/>
        <v>5.04</v>
      </c>
      <c r="M83" s="111"/>
      <c r="N83" s="111"/>
      <c r="O83" s="111"/>
      <c r="P83" s="111"/>
    </row>
    <row r="84" spans="3:16" x14ac:dyDescent="0.3">
      <c r="C84" s="114"/>
      <c r="D84" s="233" t="s">
        <v>582</v>
      </c>
      <c r="E84" s="239" t="s">
        <v>0</v>
      </c>
      <c r="F84" s="235">
        <v>2</v>
      </c>
      <c r="G84" s="236">
        <v>1.2</v>
      </c>
      <c r="H84" s="236"/>
      <c r="I84" s="236">
        <v>2.1</v>
      </c>
      <c r="J84" s="235">
        <v>1</v>
      </c>
      <c r="K84" s="237"/>
      <c r="L84" s="237">
        <f t="shared" si="4"/>
        <v>5.04</v>
      </c>
      <c r="M84" s="111"/>
      <c r="N84" s="111"/>
      <c r="O84" s="111"/>
      <c r="P84" s="111"/>
    </row>
    <row r="85" spans="3:16" x14ac:dyDescent="0.3">
      <c r="C85" s="114"/>
      <c r="D85" s="233" t="s">
        <v>589</v>
      </c>
      <c r="E85" s="239" t="s">
        <v>0</v>
      </c>
      <c r="F85" s="235">
        <v>2</v>
      </c>
      <c r="G85" s="236">
        <v>1.2</v>
      </c>
      <c r="H85" s="236"/>
      <c r="I85" s="236">
        <v>2.1</v>
      </c>
      <c r="J85" s="235">
        <v>1</v>
      </c>
      <c r="K85" s="237"/>
      <c r="L85" s="237">
        <f t="shared" si="4"/>
        <v>5.04</v>
      </c>
      <c r="M85" s="111"/>
      <c r="N85" s="111"/>
      <c r="O85" s="111"/>
      <c r="P85" s="111"/>
    </row>
    <row r="86" spans="3:16" x14ac:dyDescent="0.3">
      <c r="C86" s="114"/>
      <c r="D86" s="233" t="s">
        <v>585</v>
      </c>
      <c r="E86" s="239" t="s">
        <v>0</v>
      </c>
      <c r="F86" s="235">
        <v>2</v>
      </c>
      <c r="G86" s="236">
        <v>1.2</v>
      </c>
      <c r="H86" s="236"/>
      <c r="I86" s="236">
        <v>2.1</v>
      </c>
      <c r="J86" s="235">
        <v>1</v>
      </c>
      <c r="K86" s="237"/>
      <c r="L86" s="237">
        <f t="shared" si="4"/>
        <v>5.04</v>
      </c>
      <c r="M86" s="111"/>
      <c r="N86" s="111"/>
      <c r="O86" s="111"/>
      <c r="P86" s="111"/>
    </row>
    <row r="87" spans="3:16" x14ac:dyDescent="0.3">
      <c r="C87" s="114"/>
      <c r="D87" s="233" t="s">
        <v>586</v>
      </c>
      <c r="E87" s="239" t="s">
        <v>0</v>
      </c>
      <c r="F87" s="235">
        <v>2</v>
      </c>
      <c r="G87" s="236">
        <v>1.2</v>
      </c>
      <c r="H87" s="236"/>
      <c r="I87" s="236">
        <v>2.1</v>
      </c>
      <c r="J87" s="235">
        <v>1</v>
      </c>
      <c r="K87" s="237"/>
      <c r="L87" s="237">
        <f t="shared" si="4"/>
        <v>5.04</v>
      </c>
      <c r="M87" s="111"/>
      <c r="N87" s="111"/>
      <c r="O87" s="111"/>
      <c r="P87" s="111"/>
    </row>
    <row r="88" spans="3:16" x14ac:dyDescent="0.3">
      <c r="C88" s="106"/>
      <c r="D88" s="266" t="s">
        <v>591</v>
      </c>
      <c r="E88" s="269" t="s">
        <v>0</v>
      </c>
      <c r="F88" s="270">
        <v>1</v>
      </c>
      <c r="G88" s="268">
        <v>2.37</v>
      </c>
      <c r="H88" s="274"/>
      <c r="I88" s="268">
        <v>2.1</v>
      </c>
      <c r="J88" s="270">
        <v>1</v>
      </c>
      <c r="K88" s="274"/>
      <c r="L88" s="268">
        <f t="shared" si="4"/>
        <v>4.9770000000000003</v>
      </c>
      <c r="M88" s="113"/>
      <c r="N88" s="113"/>
      <c r="O88" s="113"/>
      <c r="P88" s="113"/>
    </row>
    <row r="89" spans="3:16" x14ac:dyDescent="0.3">
      <c r="C89" s="114"/>
      <c r="D89" s="137" t="s">
        <v>592</v>
      </c>
      <c r="E89" s="116"/>
      <c r="F89" s="109"/>
      <c r="G89" s="110"/>
      <c r="H89" s="110"/>
      <c r="I89" s="110"/>
      <c r="J89" s="109"/>
      <c r="K89" s="111"/>
      <c r="L89" s="111"/>
      <c r="M89" s="111"/>
      <c r="N89" s="111"/>
      <c r="O89" s="111"/>
      <c r="P89" s="111"/>
    </row>
    <row r="90" spans="3:16" x14ac:dyDescent="0.3">
      <c r="C90" s="114"/>
      <c r="D90" s="115" t="s">
        <v>127</v>
      </c>
      <c r="E90" s="116"/>
      <c r="F90" s="109"/>
      <c r="G90" s="110"/>
      <c r="H90" s="110"/>
      <c r="I90" s="110"/>
      <c r="J90" s="109"/>
      <c r="K90" s="111"/>
      <c r="L90" s="111"/>
      <c r="M90" s="111"/>
      <c r="N90" s="111"/>
      <c r="O90" s="111"/>
      <c r="P90" s="111"/>
    </row>
    <row r="91" spans="3:16" x14ac:dyDescent="0.3">
      <c r="C91" s="114"/>
      <c r="D91" s="266" t="s">
        <v>593</v>
      </c>
      <c r="E91" s="269" t="s">
        <v>0</v>
      </c>
      <c r="F91" s="270">
        <v>3</v>
      </c>
      <c r="G91" s="268">
        <v>0.95</v>
      </c>
      <c r="H91" s="268"/>
      <c r="I91" s="268">
        <v>1</v>
      </c>
      <c r="J91" s="270">
        <v>1</v>
      </c>
      <c r="K91" s="268"/>
      <c r="L91" s="268">
        <f t="shared" ref="L91:L97" si="5">IF(F91="","",PRODUCT(F91:J91))</f>
        <v>2.8499999999999996</v>
      </c>
      <c r="M91" s="111"/>
      <c r="N91" s="111"/>
      <c r="O91" s="111"/>
      <c r="P91" s="111"/>
    </row>
    <row r="92" spans="3:16" x14ac:dyDescent="0.3">
      <c r="C92" s="114"/>
      <c r="D92" s="266" t="s">
        <v>594</v>
      </c>
      <c r="E92" s="269" t="s">
        <v>0</v>
      </c>
      <c r="F92" s="270">
        <v>3</v>
      </c>
      <c r="G92" s="268">
        <v>0.95</v>
      </c>
      <c r="H92" s="268"/>
      <c r="I92" s="268">
        <v>1</v>
      </c>
      <c r="J92" s="270">
        <v>1</v>
      </c>
      <c r="K92" s="268"/>
      <c r="L92" s="268">
        <f t="shared" si="5"/>
        <v>2.8499999999999996</v>
      </c>
      <c r="M92" s="111"/>
      <c r="N92" s="111"/>
      <c r="O92" s="111"/>
      <c r="P92" s="111"/>
    </row>
    <row r="93" spans="3:16" x14ac:dyDescent="0.3">
      <c r="C93" s="114"/>
      <c r="D93" s="266" t="s">
        <v>595</v>
      </c>
      <c r="E93" s="269" t="s">
        <v>0</v>
      </c>
      <c r="F93" s="270">
        <v>3</v>
      </c>
      <c r="G93" s="268">
        <v>0.95</v>
      </c>
      <c r="H93" s="268"/>
      <c r="I93" s="268">
        <v>1</v>
      </c>
      <c r="J93" s="270">
        <v>1</v>
      </c>
      <c r="K93" s="268"/>
      <c r="L93" s="268">
        <f t="shared" si="5"/>
        <v>2.8499999999999996</v>
      </c>
      <c r="M93" s="111"/>
      <c r="N93" s="111"/>
      <c r="O93" s="111"/>
      <c r="P93" s="111"/>
    </row>
    <row r="94" spans="3:16" x14ac:dyDescent="0.3">
      <c r="C94" s="114"/>
      <c r="D94" s="266" t="s">
        <v>596</v>
      </c>
      <c r="E94" s="269" t="s">
        <v>0</v>
      </c>
      <c r="F94" s="270">
        <v>3</v>
      </c>
      <c r="G94" s="268">
        <v>0.95</v>
      </c>
      <c r="H94" s="268"/>
      <c r="I94" s="268">
        <v>1</v>
      </c>
      <c r="J94" s="270">
        <v>1</v>
      </c>
      <c r="K94" s="268"/>
      <c r="L94" s="268">
        <f t="shared" si="5"/>
        <v>2.8499999999999996</v>
      </c>
      <c r="M94" s="111"/>
      <c r="N94" s="111"/>
      <c r="O94" s="111"/>
      <c r="P94" s="111"/>
    </row>
    <row r="95" spans="3:16" x14ac:dyDescent="0.3">
      <c r="C95" s="114"/>
      <c r="D95" s="266" t="s">
        <v>597</v>
      </c>
      <c r="E95" s="269" t="s">
        <v>0</v>
      </c>
      <c r="F95" s="270">
        <v>3</v>
      </c>
      <c r="G95" s="268">
        <v>0.95</v>
      </c>
      <c r="H95" s="268"/>
      <c r="I95" s="268">
        <v>1</v>
      </c>
      <c r="J95" s="270">
        <v>1</v>
      </c>
      <c r="K95" s="268"/>
      <c r="L95" s="268">
        <f t="shared" si="5"/>
        <v>2.8499999999999996</v>
      </c>
      <c r="M95" s="111"/>
      <c r="N95" s="111"/>
      <c r="O95" s="111"/>
      <c r="P95" s="111"/>
    </row>
    <row r="96" spans="3:16" x14ac:dyDescent="0.3">
      <c r="C96" s="114"/>
      <c r="D96" s="266" t="s">
        <v>598</v>
      </c>
      <c r="E96" s="269" t="s">
        <v>0</v>
      </c>
      <c r="F96" s="270">
        <v>3</v>
      </c>
      <c r="G96" s="268">
        <v>0.95</v>
      </c>
      <c r="H96" s="268"/>
      <c r="I96" s="268">
        <v>1</v>
      </c>
      <c r="J96" s="270">
        <v>1</v>
      </c>
      <c r="K96" s="268"/>
      <c r="L96" s="268">
        <f t="shared" si="5"/>
        <v>2.8499999999999996</v>
      </c>
      <c r="M96" s="111"/>
      <c r="N96" s="111"/>
      <c r="O96" s="111"/>
      <c r="P96" s="111"/>
    </row>
    <row r="97" spans="3:16" x14ac:dyDescent="0.3">
      <c r="C97" s="114"/>
      <c r="D97" s="266" t="s">
        <v>599</v>
      </c>
      <c r="E97" s="269" t="s">
        <v>0</v>
      </c>
      <c r="F97" s="270">
        <v>3</v>
      </c>
      <c r="G97" s="268">
        <v>0.95</v>
      </c>
      <c r="H97" s="268"/>
      <c r="I97" s="268">
        <v>1</v>
      </c>
      <c r="J97" s="270">
        <v>1</v>
      </c>
      <c r="K97" s="268"/>
      <c r="L97" s="268">
        <f t="shared" si="5"/>
        <v>2.8499999999999996</v>
      </c>
      <c r="M97" s="111"/>
      <c r="N97" s="111"/>
      <c r="O97" s="111"/>
      <c r="P97" s="111"/>
    </row>
    <row r="98" spans="3:16" x14ac:dyDescent="0.3">
      <c r="C98" s="106"/>
      <c r="D98" s="115" t="s">
        <v>106</v>
      </c>
      <c r="E98" s="121"/>
      <c r="F98" s="3"/>
      <c r="G98" s="122"/>
      <c r="H98" s="122"/>
      <c r="I98" s="122"/>
      <c r="J98" s="3"/>
      <c r="K98" s="113"/>
      <c r="L98" s="113"/>
      <c r="M98" s="113"/>
      <c r="N98" s="113"/>
      <c r="O98" s="113"/>
      <c r="P98" s="113"/>
    </row>
    <row r="99" spans="3:16" x14ac:dyDescent="0.3">
      <c r="C99" s="114"/>
      <c r="D99" s="233" t="s">
        <v>593</v>
      </c>
      <c r="E99" s="239" t="s">
        <v>0</v>
      </c>
      <c r="F99" s="235">
        <v>1</v>
      </c>
      <c r="G99" s="236">
        <v>0.82499999999999996</v>
      </c>
      <c r="H99" s="236"/>
      <c r="I99" s="236">
        <v>2.85</v>
      </c>
      <c r="J99" s="235">
        <v>1</v>
      </c>
      <c r="K99" s="237"/>
      <c r="L99" s="237">
        <f t="shared" ref="L99:L119" si="6">IF(F99="","",PRODUCT(F99:J99))</f>
        <v>2.3512499999999998</v>
      </c>
      <c r="M99" s="111"/>
      <c r="N99" s="111"/>
      <c r="O99" s="111"/>
      <c r="P99" s="111"/>
    </row>
    <row r="100" spans="3:16" x14ac:dyDescent="0.3">
      <c r="C100" s="114"/>
      <c r="D100" s="233"/>
      <c r="E100" s="239" t="s">
        <v>0</v>
      </c>
      <c r="F100" s="235">
        <v>2</v>
      </c>
      <c r="G100" s="236">
        <v>1.1499999999999999</v>
      </c>
      <c r="H100" s="236"/>
      <c r="I100" s="236">
        <v>2.85</v>
      </c>
      <c r="J100" s="235">
        <v>1</v>
      </c>
      <c r="K100" s="237"/>
      <c r="L100" s="237">
        <f t="shared" si="6"/>
        <v>6.5549999999999997</v>
      </c>
      <c r="M100" s="111"/>
      <c r="N100" s="111"/>
      <c r="O100" s="111"/>
      <c r="P100" s="111"/>
    </row>
    <row r="101" spans="3:16" x14ac:dyDescent="0.3">
      <c r="C101" s="114"/>
      <c r="D101" s="233"/>
      <c r="E101" s="239" t="s">
        <v>0</v>
      </c>
      <c r="F101" s="235">
        <v>3</v>
      </c>
      <c r="G101" s="236">
        <v>0.55000000000000004</v>
      </c>
      <c r="H101" s="236"/>
      <c r="I101" s="236">
        <v>0.35</v>
      </c>
      <c r="J101" s="235">
        <v>1</v>
      </c>
      <c r="K101" s="237"/>
      <c r="L101" s="237">
        <f t="shared" si="6"/>
        <v>0.57750000000000001</v>
      </c>
      <c r="M101" s="111"/>
      <c r="N101" s="111"/>
      <c r="O101" s="111"/>
      <c r="P101" s="111"/>
    </row>
    <row r="102" spans="3:16" x14ac:dyDescent="0.3">
      <c r="C102" s="114"/>
      <c r="D102" s="233" t="s">
        <v>594</v>
      </c>
      <c r="E102" s="239" t="s">
        <v>0</v>
      </c>
      <c r="F102" s="235">
        <v>1</v>
      </c>
      <c r="G102" s="236">
        <v>0.82499999999999996</v>
      </c>
      <c r="H102" s="236"/>
      <c r="I102" s="236">
        <v>2.85</v>
      </c>
      <c r="J102" s="235">
        <v>1</v>
      </c>
      <c r="K102" s="237"/>
      <c r="L102" s="237">
        <f t="shared" si="6"/>
        <v>2.3512499999999998</v>
      </c>
      <c r="M102" s="111"/>
      <c r="N102" s="111"/>
      <c r="O102" s="111"/>
      <c r="P102" s="111"/>
    </row>
    <row r="103" spans="3:16" x14ac:dyDescent="0.3">
      <c r="C103" s="114"/>
      <c r="D103" s="233"/>
      <c r="E103" s="239" t="s">
        <v>0</v>
      </c>
      <c r="F103" s="235">
        <v>2</v>
      </c>
      <c r="G103" s="236">
        <v>1.1499999999999999</v>
      </c>
      <c r="H103" s="236"/>
      <c r="I103" s="236">
        <v>2.85</v>
      </c>
      <c r="J103" s="235">
        <v>1</v>
      </c>
      <c r="K103" s="237"/>
      <c r="L103" s="237">
        <f t="shared" si="6"/>
        <v>6.5549999999999997</v>
      </c>
      <c r="M103" s="111"/>
      <c r="N103" s="111"/>
      <c r="O103" s="111"/>
      <c r="P103" s="111"/>
    </row>
    <row r="104" spans="3:16" x14ac:dyDescent="0.3">
      <c r="C104" s="114"/>
      <c r="D104" s="233"/>
      <c r="E104" s="239" t="s">
        <v>0</v>
      </c>
      <c r="F104" s="235">
        <v>3</v>
      </c>
      <c r="G104" s="236">
        <v>0.55000000000000004</v>
      </c>
      <c r="H104" s="236"/>
      <c r="I104" s="236">
        <v>0.35</v>
      </c>
      <c r="J104" s="235">
        <v>1</v>
      </c>
      <c r="K104" s="237"/>
      <c r="L104" s="237">
        <f t="shared" si="6"/>
        <v>0.57750000000000001</v>
      </c>
      <c r="M104" s="111"/>
      <c r="N104" s="111"/>
      <c r="O104" s="111"/>
      <c r="P104" s="111"/>
    </row>
    <row r="105" spans="3:16" x14ac:dyDescent="0.3">
      <c r="C105" s="114"/>
      <c r="D105" s="233" t="s">
        <v>595</v>
      </c>
      <c r="E105" s="239" t="s">
        <v>0</v>
      </c>
      <c r="F105" s="235">
        <v>1</v>
      </c>
      <c r="G105" s="236">
        <v>0.82499999999999996</v>
      </c>
      <c r="H105" s="236"/>
      <c r="I105" s="236">
        <v>2.85</v>
      </c>
      <c r="J105" s="235">
        <v>1</v>
      </c>
      <c r="K105" s="237"/>
      <c r="L105" s="237">
        <f t="shared" si="6"/>
        <v>2.3512499999999998</v>
      </c>
      <c r="M105" s="111"/>
      <c r="N105" s="111"/>
      <c r="O105" s="111"/>
      <c r="P105" s="111"/>
    </row>
    <row r="106" spans="3:16" x14ac:dyDescent="0.3">
      <c r="C106" s="114"/>
      <c r="D106" s="233"/>
      <c r="E106" s="239" t="s">
        <v>0</v>
      </c>
      <c r="F106" s="235">
        <v>2</v>
      </c>
      <c r="G106" s="236">
        <v>1.1499999999999999</v>
      </c>
      <c r="H106" s="236"/>
      <c r="I106" s="236">
        <v>2.85</v>
      </c>
      <c r="J106" s="235">
        <v>1</v>
      </c>
      <c r="K106" s="237"/>
      <c r="L106" s="237">
        <f t="shared" si="6"/>
        <v>6.5549999999999997</v>
      </c>
      <c r="M106" s="111"/>
      <c r="N106" s="111"/>
      <c r="O106" s="111"/>
      <c r="P106" s="111"/>
    </row>
    <row r="107" spans="3:16" x14ac:dyDescent="0.3">
      <c r="C107" s="114"/>
      <c r="D107" s="233"/>
      <c r="E107" s="239" t="s">
        <v>0</v>
      </c>
      <c r="F107" s="235">
        <v>3</v>
      </c>
      <c r="G107" s="236">
        <v>0.55000000000000004</v>
      </c>
      <c r="H107" s="236"/>
      <c r="I107" s="236">
        <v>0.35</v>
      </c>
      <c r="J107" s="235">
        <v>1</v>
      </c>
      <c r="K107" s="237"/>
      <c r="L107" s="237">
        <f t="shared" si="6"/>
        <v>0.57750000000000001</v>
      </c>
      <c r="M107" s="111"/>
      <c r="N107" s="111"/>
      <c r="O107" s="111"/>
      <c r="P107" s="111"/>
    </row>
    <row r="108" spans="3:16" x14ac:dyDescent="0.3">
      <c r="C108" s="114"/>
      <c r="D108" s="233" t="s">
        <v>596</v>
      </c>
      <c r="E108" s="239" t="s">
        <v>0</v>
      </c>
      <c r="F108" s="235">
        <v>1</v>
      </c>
      <c r="G108" s="236">
        <v>0.82499999999999996</v>
      </c>
      <c r="H108" s="236"/>
      <c r="I108" s="236">
        <v>2.85</v>
      </c>
      <c r="J108" s="235">
        <v>1</v>
      </c>
      <c r="K108" s="237"/>
      <c r="L108" s="237">
        <f t="shared" si="6"/>
        <v>2.3512499999999998</v>
      </c>
      <c r="M108" s="111"/>
      <c r="N108" s="111"/>
      <c r="O108" s="111"/>
      <c r="P108" s="111"/>
    </row>
    <row r="109" spans="3:16" x14ac:dyDescent="0.3">
      <c r="C109" s="114"/>
      <c r="D109" s="233"/>
      <c r="E109" s="239" t="s">
        <v>0</v>
      </c>
      <c r="F109" s="235">
        <v>2</v>
      </c>
      <c r="G109" s="236">
        <v>1.1499999999999999</v>
      </c>
      <c r="H109" s="236"/>
      <c r="I109" s="236">
        <v>2.85</v>
      </c>
      <c r="J109" s="235">
        <v>1</v>
      </c>
      <c r="K109" s="237"/>
      <c r="L109" s="237">
        <f t="shared" si="6"/>
        <v>6.5549999999999997</v>
      </c>
      <c r="M109" s="111"/>
      <c r="N109" s="111"/>
      <c r="O109" s="111"/>
      <c r="P109" s="111"/>
    </row>
    <row r="110" spans="3:16" x14ac:dyDescent="0.3">
      <c r="C110" s="114"/>
      <c r="D110" s="233"/>
      <c r="E110" s="239" t="s">
        <v>0</v>
      </c>
      <c r="F110" s="235">
        <v>3</v>
      </c>
      <c r="G110" s="236">
        <v>0.55000000000000004</v>
      </c>
      <c r="H110" s="236"/>
      <c r="I110" s="236">
        <v>0.35</v>
      </c>
      <c r="J110" s="235">
        <v>1</v>
      </c>
      <c r="K110" s="237"/>
      <c r="L110" s="237">
        <f t="shared" si="6"/>
        <v>0.57750000000000001</v>
      </c>
      <c r="M110" s="111"/>
      <c r="N110" s="111"/>
      <c r="O110" s="111"/>
      <c r="P110" s="111"/>
    </row>
    <row r="111" spans="3:16" x14ac:dyDescent="0.3">
      <c r="C111" s="114"/>
      <c r="D111" s="233" t="s">
        <v>597</v>
      </c>
      <c r="E111" s="239" t="s">
        <v>0</v>
      </c>
      <c r="F111" s="235">
        <v>1</v>
      </c>
      <c r="G111" s="236">
        <v>0.82499999999999996</v>
      </c>
      <c r="H111" s="236"/>
      <c r="I111" s="236">
        <v>2.85</v>
      </c>
      <c r="J111" s="235">
        <v>1</v>
      </c>
      <c r="K111" s="237"/>
      <c r="L111" s="237">
        <f t="shared" si="6"/>
        <v>2.3512499999999998</v>
      </c>
      <c r="M111" s="111"/>
      <c r="N111" s="111"/>
      <c r="O111" s="111"/>
      <c r="P111" s="111"/>
    </row>
    <row r="112" spans="3:16" x14ac:dyDescent="0.3">
      <c r="C112" s="114"/>
      <c r="D112" s="233"/>
      <c r="E112" s="239" t="s">
        <v>0</v>
      </c>
      <c r="F112" s="235">
        <v>2</v>
      </c>
      <c r="G112" s="236">
        <v>1.1499999999999999</v>
      </c>
      <c r="H112" s="236"/>
      <c r="I112" s="236">
        <v>2.85</v>
      </c>
      <c r="J112" s="235">
        <v>1</v>
      </c>
      <c r="K112" s="237"/>
      <c r="L112" s="237">
        <f t="shared" si="6"/>
        <v>6.5549999999999997</v>
      </c>
      <c r="M112" s="111"/>
      <c r="N112" s="111"/>
      <c r="O112" s="111"/>
      <c r="P112" s="111"/>
    </row>
    <row r="113" spans="3:16" x14ac:dyDescent="0.3">
      <c r="C113" s="114"/>
      <c r="D113" s="233"/>
      <c r="E113" s="239" t="s">
        <v>0</v>
      </c>
      <c r="F113" s="235">
        <v>3</v>
      </c>
      <c r="G113" s="236">
        <v>0.55000000000000004</v>
      </c>
      <c r="H113" s="236"/>
      <c r="I113" s="236">
        <v>0.35</v>
      </c>
      <c r="J113" s="235">
        <v>1</v>
      </c>
      <c r="K113" s="237"/>
      <c r="L113" s="237">
        <f t="shared" si="6"/>
        <v>0.57750000000000001</v>
      </c>
      <c r="M113" s="111"/>
      <c r="N113" s="111"/>
      <c r="O113" s="111"/>
      <c r="P113" s="111"/>
    </row>
    <row r="114" spans="3:16" x14ac:dyDescent="0.3">
      <c r="C114" s="114"/>
      <c r="D114" s="258" t="s">
        <v>598</v>
      </c>
      <c r="E114" s="239" t="s">
        <v>0</v>
      </c>
      <c r="F114" s="235">
        <v>1</v>
      </c>
      <c r="G114" s="236">
        <v>0.82499999999999996</v>
      </c>
      <c r="H114" s="236"/>
      <c r="I114" s="236">
        <v>2.85</v>
      </c>
      <c r="J114" s="235">
        <v>1</v>
      </c>
      <c r="K114" s="237"/>
      <c r="L114" s="237">
        <f t="shared" si="6"/>
        <v>2.3512499999999998</v>
      </c>
      <c r="M114" s="111"/>
      <c r="N114" s="111"/>
      <c r="O114" s="111"/>
      <c r="P114" s="111"/>
    </row>
    <row r="115" spans="3:16" x14ac:dyDescent="0.3">
      <c r="C115" s="114"/>
      <c r="D115" s="258"/>
      <c r="E115" s="239" t="s">
        <v>0</v>
      </c>
      <c r="F115" s="235">
        <v>2</v>
      </c>
      <c r="G115" s="236">
        <v>1.1499999999999999</v>
      </c>
      <c r="H115" s="236"/>
      <c r="I115" s="236">
        <v>2.85</v>
      </c>
      <c r="J115" s="235">
        <v>1</v>
      </c>
      <c r="K115" s="237"/>
      <c r="L115" s="237">
        <f t="shared" si="6"/>
        <v>6.5549999999999997</v>
      </c>
      <c r="M115" s="111"/>
      <c r="N115" s="111"/>
      <c r="O115" s="111"/>
      <c r="P115" s="111"/>
    </row>
    <row r="116" spans="3:16" x14ac:dyDescent="0.3">
      <c r="C116" s="114"/>
      <c r="D116" s="233"/>
      <c r="E116" s="239" t="s">
        <v>0</v>
      </c>
      <c r="F116" s="235">
        <v>3</v>
      </c>
      <c r="G116" s="236">
        <v>0.55000000000000004</v>
      </c>
      <c r="H116" s="236"/>
      <c r="I116" s="236">
        <v>0.35</v>
      </c>
      <c r="J116" s="235">
        <v>1</v>
      </c>
      <c r="K116" s="237"/>
      <c r="L116" s="237">
        <f t="shared" si="6"/>
        <v>0.57750000000000001</v>
      </c>
      <c r="M116" s="111"/>
      <c r="N116" s="111"/>
      <c r="O116" s="111"/>
      <c r="P116" s="111"/>
    </row>
    <row r="117" spans="3:16" x14ac:dyDescent="0.3">
      <c r="C117" s="114"/>
      <c r="D117" s="258" t="s">
        <v>599</v>
      </c>
      <c r="E117" s="239" t="s">
        <v>0</v>
      </c>
      <c r="F117" s="235">
        <v>1</v>
      </c>
      <c r="G117" s="236">
        <v>0.82499999999999996</v>
      </c>
      <c r="H117" s="236"/>
      <c r="I117" s="236">
        <v>2.85</v>
      </c>
      <c r="J117" s="235">
        <v>1</v>
      </c>
      <c r="K117" s="237"/>
      <c r="L117" s="237">
        <f t="shared" si="6"/>
        <v>2.3512499999999998</v>
      </c>
      <c r="M117" s="111"/>
      <c r="N117" s="111"/>
      <c r="O117" s="111"/>
      <c r="P117" s="111"/>
    </row>
    <row r="118" spans="3:16" x14ac:dyDescent="0.3">
      <c r="C118" s="106"/>
      <c r="D118" s="275"/>
      <c r="E118" s="239" t="s">
        <v>0</v>
      </c>
      <c r="F118" s="235">
        <v>2</v>
      </c>
      <c r="G118" s="236">
        <v>1.1499999999999999</v>
      </c>
      <c r="H118" s="236"/>
      <c r="I118" s="236">
        <v>2.85</v>
      </c>
      <c r="J118" s="235">
        <v>1</v>
      </c>
      <c r="K118" s="237"/>
      <c r="L118" s="237">
        <f t="shared" si="6"/>
        <v>6.5549999999999997</v>
      </c>
      <c r="M118" s="113"/>
      <c r="N118" s="113"/>
      <c r="O118" s="113"/>
      <c r="P118" s="113"/>
    </row>
    <row r="119" spans="3:16" x14ac:dyDescent="0.3">
      <c r="C119" s="114"/>
      <c r="D119" s="233"/>
      <c r="E119" s="239" t="s">
        <v>0</v>
      </c>
      <c r="F119" s="235">
        <v>3</v>
      </c>
      <c r="G119" s="236">
        <v>0.55000000000000004</v>
      </c>
      <c r="H119" s="236"/>
      <c r="I119" s="236">
        <v>0.35</v>
      </c>
      <c r="J119" s="235">
        <v>1</v>
      </c>
      <c r="K119" s="237"/>
      <c r="L119" s="237">
        <f t="shared" si="6"/>
        <v>0.57750000000000001</v>
      </c>
      <c r="M119" s="111"/>
      <c r="N119" s="111"/>
      <c r="O119" s="111"/>
      <c r="P119" s="111"/>
    </row>
    <row r="120" spans="3:16" x14ac:dyDescent="0.3">
      <c r="C120" s="114"/>
      <c r="D120" s="137" t="s">
        <v>287</v>
      </c>
      <c r="E120" s="116"/>
      <c r="F120" s="109"/>
      <c r="G120" s="110"/>
      <c r="H120" s="110"/>
      <c r="I120" s="110"/>
      <c r="J120" s="109"/>
      <c r="K120" s="111"/>
      <c r="L120" s="111"/>
      <c r="M120" s="111"/>
      <c r="N120" s="111"/>
      <c r="O120" s="111"/>
      <c r="P120" s="111"/>
    </row>
    <row r="121" spans="3:16" x14ac:dyDescent="0.3">
      <c r="C121" s="114"/>
      <c r="D121" s="120" t="s">
        <v>123</v>
      </c>
      <c r="E121" s="116"/>
      <c r="F121" s="109"/>
      <c r="G121" s="110"/>
      <c r="H121" s="110"/>
      <c r="I121" s="110"/>
      <c r="J121" s="109"/>
      <c r="K121" s="111"/>
      <c r="L121" s="111"/>
      <c r="M121" s="111"/>
      <c r="N121" s="111"/>
      <c r="O121" s="111"/>
      <c r="P121" s="111"/>
    </row>
    <row r="122" spans="3:16" x14ac:dyDescent="0.3">
      <c r="C122" s="114"/>
      <c r="D122" s="266" t="s">
        <v>600</v>
      </c>
      <c r="E122" s="269" t="s">
        <v>0</v>
      </c>
      <c r="F122" s="270">
        <v>1</v>
      </c>
      <c r="G122" s="268">
        <v>4.8</v>
      </c>
      <c r="H122" s="268"/>
      <c r="I122" s="268">
        <v>3.15</v>
      </c>
      <c r="J122" s="270">
        <v>1</v>
      </c>
      <c r="K122" s="268"/>
      <c r="L122" s="268">
        <f>IF(F122="","",PRODUCT(F122:J122))</f>
        <v>15.12</v>
      </c>
      <c r="M122" s="111"/>
      <c r="N122" s="111"/>
      <c r="O122" s="111"/>
      <c r="P122" s="111"/>
    </row>
    <row r="123" spans="3:16" x14ac:dyDescent="0.3">
      <c r="C123" s="114"/>
      <c r="D123" s="266" t="s">
        <v>580</v>
      </c>
      <c r="E123" s="269" t="s">
        <v>0</v>
      </c>
      <c r="F123" s="270">
        <v>1</v>
      </c>
      <c r="G123" s="268">
        <v>3.38</v>
      </c>
      <c r="H123" s="268"/>
      <c r="I123" s="268">
        <v>3.15</v>
      </c>
      <c r="J123" s="270">
        <v>1</v>
      </c>
      <c r="K123" s="268"/>
      <c r="L123" s="268">
        <f>IF(F123="","",PRODUCT(F123:J123))</f>
        <v>10.647</v>
      </c>
      <c r="M123" s="111"/>
      <c r="N123" s="111"/>
      <c r="O123" s="111"/>
      <c r="P123" s="111"/>
    </row>
    <row r="124" spans="3:16" x14ac:dyDescent="0.3">
      <c r="C124" s="114"/>
      <c r="D124" s="266" t="s">
        <v>581</v>
      </c>
      <c r="E124" s="269" t="s">
        <v>0</v>
      </c>
      <c r="F124" s="270">
        <v>1</v>
      </c>
      <c r="G124" s="236">
        <v>3.4</v>
      </c>
      <c r="H124" s="236"/>
      <c r="I124" s="268">
        <v>3.15</v>
      </c>
      <c r="J124" s="270">
        <v>1</v>
      </c>
      <c r="K124" s="268"/>
      <c r="L124" s="268">
        <f t="shared" ref="L124:L129" si="7">IF(F124="","",PRODUCT(F124:J124))</f>
        <v>10.709999999999999</v>
      </c>
      <c r="M124" s="111"/>
      <c r="N124" s="111"/>
      <c r="O124" s="111"/>
      <c r="P124" s="111"/>
    </row>
    <row r="125" spans="3:16" x14ac:dyDescent="0.3">
      <c r="C125" s="114"/>
      <c r="D125" s="266" t="s">
        <v>582</v>
      </c>
      <c r="E125" s="269" t="s">
        <v>0</v>
      </c>
      <c r="F125" s="270">
        <v>1</v>
      </c>
      <c r="G125" s="236">
        <v>3.4</v>
      </c>
      <c r="H125" s="236"/>
      <c r="I125" s="268">
        <v>3.15</v>
      </c>
      <c r="J125" s="270">
        <v>1</v>
      </c>
      <c r="K125" s="268"/>
      <c r="L125" s="268">
        <f t="shared" si="7"/>
        <v>10.709999999999999</v>
      </c>
      <c r="M125" s="111"/>
      <c r="N125" s="111"/>
      <c r="O125" s="111"/>
      <c r="P125" s="111"/>
    </row>
    <row r="126" spans="3:16" x14ac:dyDescent="0.3">
      <c r="C126" s="114"/>
      <c r="D126" s="266" t="s">
        <v>589</v>
      </c>
      <c r="E126" s="269" t="s">
        <v>0</v>
      </c>
      <c r="F126" s="270">
        <v>1</v>
      </c>
      <c r="G126" s="236">
        <v>3.4</v>
      </c>
      <c r="H126" s="236"/>
      <c r="I126" s="268">
        <v>3.15</v>
      </c>
      <c r="J126" s="270">
        <v>1</v>
      </c>
      <c r="K126" s="268"/>
      <c r="L126" s="268">
        <f t="shared" si="7"/>
        <v>10.709999999999999</v>
      </c>
      <c r="M126" s="111"/>
      <c r="N126" s="111"/>
      <c r="O126" s="111"/>
      <c r="P126" s="111"/>
    </row>
    <row r="127" spans="3:16" x14ac:dyDescent="0.3">
      <c r="C127" s="114"/>
      <c r="D127" s="266" t="s">
        <v>585</v>
      </c>
      <c r="E127" s="269" t="s">
        <v>0</v>
      </c>
      <c r="F127" s="270">
        <v>1</v>
      </c>
      <c r="G127" s="236">
        <v>3.4</v>
      </c>
      <c r="H127" s="236"/>
      <c r="I127" s="268">
        <v>3.15</v>
      </c>
      <c r="J127" s="270">
        <v>1</v>
      </c>
      <c r="K127" s="268"/>
      <c r="L127" s="268">
        <f t="shared" si="7"/>
        <v>10.709999999999999</v>
      </c>
      <c r="M127" s="111"/>
      <c r="N127" s="111"/>
      <c r="O127" s="111"/>
      <c r="P127" s="111"/>
    </row>
    <row r="128" spans="3:16" x14ac:dyDescent="0.3">
      <c r="C128" s="114"/>
      <c r="D128" s="266" t="s">
        <v>586</v>
      </c>
      <c r="E128" s="269" t="s">
        <v>0</v>
      </c>
      <c r="F128" s="270">
        <v>1</v>
      </c>
      <c r="G128" s="236">
        <v>3.4</v>
      </c>
      <c r="H128" s="236"/>
      <c r="I128" s="268">
        <v>3.15</v>
      </c>
      <c r="J128" s="270">
        <v>1</v>
      </c>
      <c r="K128" s="268"/>
      <c r="L128" s="268">
        <f t="shared" si="7"/>
        <v>10.709999999999999</v>
      </c>
      <c r="M128" s="111"/>
      <c r="N128" s="111"/>
      <c r="O128" s="111"/>
      <c r="P128" s="111"/>
    </row>
    <row r="129" spans="3:16" x14ac:dyDescent="0.3">
      <c r="C129" s="114"/>
      <c r="D129" s="266" t="s">
        <v>591</v>
      </c>
      <c r="E129" s="269" t="s">
        <v>0</v>
      </c>
      <c r="F129" s="270">
        <v>1</v>
      </c>
      <c r="G129" s="236">
        <v>3.37</v>
      </c>
      <c r="H129" s="236"/>
      <c r="I129" s="268">
        <v>3.15</v>
      </c>
      <c r="J129" s="270">
        <v>1</v>
      </c>
      <c r="K129" s="268"/>
      <c r="L129" s="268">
        <f t="shared" si="7"/>
        <v>10.615500000000001</v>
      </c>
      <c r="M129" s="111"/>
      <c r="N129" s="111"/>
      <c r="O129" s="111"/>
      <c r="P129" s="111"/>
    </row>
    <row r="130" spans="3:16" ht="14.4" x14ac:dyDescent="0.3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3:16" x14ac:dyDescent="0.3">
      <c r="C131" s="99" t="s">
        <v>1181</v>
      </c>
      <c r="D131" s="100" t="s">
        <v>521</v>
      </c>
      <c r="E131" s="132" t="s">
        <v>0</v>
      </c>
      <c r="F131" s="1"/>
      <c r="G131" s="2"/>
      <c r="H131" s="2"/>
      <c r="I131" s="2"/>
      <c r="J131" s="3"/>
      <c r="K131" s="103"/>
      <c r="L131" s="103"/>
      <c r="M131" s="103"/>
      <c r="N131" s="103"/>
      <c r="O131" s="103"/>
      <c r="P131" s="103">
        <f>SUM(L131:L163)</f>
        <v>253.13719999999998</v>
      </c>
    </row>
    <row r="132" spans="3:16" x14ac:dyDescent="0.3">
      <c r="C132" s="118"/>
      <c r="D132" s="137" t="s">
        <v>572</v>
      </c>
      <c r="E132" s="138"/>
      <c r="F132" s="1"/>
      <c r="G132" s="2"/>
      <c r="H132" s="2"/>
      <c r="I132" s="2"/>
      <c r="J132" s="3"/>
      <c r="K132" s="113"/>
      <c r="L132" s="113"/>
      <c r="M132" s="113"/>
      <c r="N132" s="113"/>
      <c r="O132" s="113"/>
      <c r="P132" s="113"/>
    </row>
    <row r="133" spans="3:16" x14ac:dyDescent="0.3">
      <c r="C133" s="106"/>
      <c r="D133" s="115" t="s">
        <v>127</v>
      </c>
      <c r="E133" s="121"/>
      <c r="F133" s="3"/>
      <c r="G133" s="122"/>
      <c r="H133" s="122"/>
      <c r="I133" s="122"/>
      <c r="J133" s="3"/>
      <c r="K133" s="113"/>
      <c r="L133" s="113"/>
      <c r="M133" s="113"/>
      <c r="N133" s="113"/>
      <c r="O133" s="113"/>
      <c r="P133" s="113"/>
    </row>
    <row r="134" spans="3:16" x14ac:dyDescent="0.3">
      <c r="C134" s="114"/>
      <c r="D134" s="266" t="s">
        <v>580</v>
      </c>
      <c r="E134" s="269" t="s">
        <v>0</v>
      </c>
      <c r="F134" s="270">
        <v>1</v>
      </c>
      <c r="G134" s="268">
        <v>3.38</v>
      </c>
      <c r="H134" s="268"/>
      <c r="I134" s="268">
        <v>3.02</v>
      </c>
      <c r="J134" s="270">
        <v>1</v>
      </c>
      <c r="K134" s="268"/>
      <c r="L134" s="268">
        <f t="shared" ref="L134:L142" si="8">IF(F134="","",PRODUCT(F134:J134))</f>
        <v>10.207599999999999</v>
      </c>
      <c r="M134" s="111"/>
      <c r="N134" s="111"/>
      <c r="O134" s="111"/>
      <c r="P134" s="111"/>
    </row>
    <row r="135" spans="3:16" x14ac:dyDescent="0.3">
      <c r="C135" s="114"/>
      <c r="D135" s="233" t="s">
        <v>581</v>
      </c>
      <c r="E135" s="234" t="s">
        <v>0</v>
      </c>
      <c r="F135" s="235">
        <v>1</v>
      </c>
      <c r="G135" s="236">
        <v>3.4</v>
      </c>
      <c r="H135" s="236"/>
      <c r="I135" s="268">
        <v>3.02</v>
      </c>
      <c r="J135" s="235">
        <v>1</v>
      </c>
      <c r="K135" s="237"/>
      <c r="L135" s="237">
        <f t="shared" si="8"/>
        <v>10.267999999999999</v>
      </c>
      <c r="M135" s="111"/>
      <c r="N135" s="111"/>
      <c r="O135" s="111"/>
      <c r="P135" s="111"/>
    </row>
    <row r="136" spans="3:16" x14ac:dyDescent="0.3">
      <c r="C136" s="114"/>
      <c r="D136" s="266" t="s">
        <v>582</v>
      </c>
      <c r="E136" s="269" t="s">
        <v>0</v>
      </c>
      <c r="F136" s="270">
        <v>1</v>
      </c>
      <c r="G136" s="268">
        <v>3.4</v>
      </c>
      <c r="H136" s="268"/>
      <c r="I136" s="268">
        <v>3.02</v>
      </c>
      <c r="J136" s="270">
        <v>1</v>
      </c>
      <c r="K136" s="268"/>
      <c r="L136" s="268">
        <f t="shared" si="8"/>
        <v>10.267999999999999</v>
      </c>
      <c r="M136" s="111"/>
      <c r="N136" s="111"/>
      <c r="O136" s="111"/>
      <c r="P136" s="111"/>
    </row>
    <row r="137" spans="3:16" x14ac:dyDescent="0.3">
      <c r="C137" s="114"/>
      <c r="D137" s="266" t="s">
        <v>583</v>
      </c>
      <c r="E137" s="269" t="s">
        <v>0</v>
      </c>
      <c r="F137" s="270">
        <v>1</v>
      </c>
      <c r="G137" s="268">
        <v>0.95</v>
      </c>
      <c r="H137" s="268"/>
      <c r="I137" s="268">
        <v>3.02</v>
      </c>
      <c r="J137" s="270">
        <v>1</v>
      </c>
      <c r="K137" s="268"/>
      <c r="L137" s="268">
        <f t="shared" si="8"/>
        <v>2.8689999999999998</v>
      </c>
      <c r="M137" s="111"/>
      <c r="N137" s="111"/>
      <c r="O137" s="111"/>
      <c r="P137" s="111"/>
    </row>
    <row r="138" spans="3:16" x14ac:dyDescent="0.3">
      <c r="C138" s="114"/>
      <c r="D138" s="266" t="s">
        <v>584</v>
      </c>
      <c r="E138" s="269" t="s">
        <v>0</v>
      </c>
      <c r="F138" s="270">
        <v>1</v>
      </c>
      <c r="G138" s="268">
        <v>0.95</v>
      </c>
      <c r="H138" s="268"/>
      <c r="I138" s="268">
        <v>3.02</v>
      </c>
      <c r="J138" s="270">
        <v>1</v>
      </c>
      <c r="K138" s="268"/>
      <c r="L138" s="268">
        <f t="shared" si="8"/>
        <v>2.8689999999999998</v>
      </c>
      <c r="M138" s="111"/>
      <c r="N138" s="111"/>
      <c r="O138" s="111"/>
      <c r="P138" s="111"/>
    </row>
    <row r="139" spans="3:16" x14ac:dyDescent="0.3">
      <c r="C139" s="114"/>
      <c r="D139" s="233" t="s">
        <v>585</v>
      </c>
      <c r="E139" s="234" t="s">
        <v>0</v>
      </c>
      <c r="F139" s="235">
        <v>1</v>
      </c>
      <c r="G139" s="236">
        <v>3.4</v>
      </c>
      <c r="H139" s="236"/>
      <c r="I139" s="268">
        <v>3.02</v>
      </c>
      <c r="J139" s="235">
        <v>1</v>
      </c>
      <c r="K139" s="237"/>
      <c r="L139" s="237">
        <f t="shared" si="8"/>
        <v>10.267999999999999</v>
      </c>
      <c r="M139" s="111"/>
      <c r="N139" s="111"/>
      <c r="O139" s="111"/>
      <c r="P139" s="111"/>
    </row>
    <row r="140" spans="3:16" x14ac:dyDescent="0.3">
      <c r="C140" s="114"/>
      <c r="D140" s="233" t="s">
        <v>586</v>
      </c>
      <c r="E140" s="234" t="s">
        <v>0</v>
      </c>
      <c r="F140" s="235">
        <v>1</v>
      </c>
      <c r="G140" s="236">
        <v>3.4</v>
      </c>
      <c r="H140" s="236"/>
      <c r="I140" s="268">
        <v>3.02</v>
      </c>
      <c r="J140" s="235">
        <v>1</v>
      </c>
      <c r="K140" s="237"/>
      <c r="L140" s="237">
        <f t="shared" si="8"/>
        <v>10.267999999999999</v>
      </c>
      <c r="M140" s="111"/>
      <c r="N140" s="111"/>
      <c r="O140" s="111"/>
      <c r="P140" s="111"/>
    </row>
    <row r="141" spans="3:16" x14ac:dyDescent="0.3">
      <c r="C141" s="114"/>
      <c r="D141" s="266" t="s">
        <v>587</v>
      </c>
      <c r="E141" s="269" t="s">
        <v>0</v>
      </c>
      <c r="F141" s="270">
        <v>1</v>
      </c>
      <c r="G141" s="268">
        <v>0.94</v>
      </c>
      <c r="H141" s="268"/>
      <c r="I141" s="268">
        <v>3.02</v>
      </c>
      <c r="J141" s="270">
        <v>1</v>
      </c>
      <c r="K141" s="268"/>
      <c r="L141" s="268">
        <f t="shared" si="8"/>
        <v>2.8388</v>
      </c>
      <c r="M141" s="111"/>
      <c r="N141" s="111"/>
      <c r="O141" s="111"/>
      <c r="P141" s="111"/>
    </row>
    <row r="142" spans="3:16" x14ac:dyDescent="0.3">
      <c r="C142" s="114"/>
      <c r="D142" s="266" t="s">
        <v>588</v>
      </c>
      <c r="E142" s="269" t="s">
        <v>0</v>
      </c>
      <c r="F142" s="270">
        <v>1</v>
      </c>
      <c r="G142" s="268">
        <v>0.94</v>
      </c>
      <c r="H142" s="268"/>
      <c r="I142" s="268">
        <v>3.02</v>
      </c>
      <c r="J142" s="270">
        <v>1</v>
      </c>
      <c r="K142" s="268"/>
      <c r="L142" s="268">
        <f t="shared" si="8"/>
        <v>2.8388</v>
      </c>
      <c r="M142" s="111"/>
      <c r="N142" s="111"/>
      <c r="O142" s="111"/>
      <c r="P142" s="111"/>
    </row>
    <row r="143" spans="3:16" x14ac:dyDescent="0.3">
      <c r="C143" s="106"/>
      <c r="D143" s="115" t="s">
        <v>68</v>
      </c>
      <c r="E143" s="121"/>
      <c r="F143" s="3"/>
      <c r="G143" s="122"/>
      <c r="H143" s="122"/>
      <c r="I143" s="122"/>
      <c r="J143" s="3"/>
      <c r="K143" s="113"/>
      <c r="L143" s="113"/>
      <c r="M143" s="113"/>
      <c r="N143" s="113"/>
      <c r="O143" s="113"/>
      <c r="P143" s="113"/>
    </row>
    <row r="144" spans="3:16" x14ac:dyDescent="0.3">
      <c r="C144" s="114"/>
      <c r="D144" s="266" t="s">
        <v>580</v>
      </c>
      <c r="E144" s="269" t="s">
        <v>0</v>
      </c>
      <c r="F144" s="270">
        <v>1</v>
      </c>
      <c r="G144" s="268">
        <v>3.38</v>
      </c>
      <c r="H144" s="268"/>
      <c r="I144" s="268">
        <v>3.02</v>
      </c>
      <c r="J144" s="270">
        <v>1</v>
      </c>
      <c r="K144" s="268"/>
      <c r="L144" s="268">
        <f t="shared" ref="L144:L152" si="9">IF(F144="","",PRODUCT(F144:J144))</f>
        <v>10.207599999999999</v>
      </c>
      <c r="M144" s="111"/>
      <c r="N144" s="111"/>
      <c r="O144" s="111"/>
      <c r="P144" s="111"/>
    </row>
    <row r="145" spans="3:16" x14ac:dyDescent="0.3">
      <c r="C145" s="114"/>
      <c r="D145" s="266" t="s">
        <v>581</v>
      </c>
      <c r="E145" s="269" t="s">
        <v>0</v>
      </c>
      <c r="F145" s="270">
        <v>1</v>
      </c>
      <c r="G145" s="268">
        <v>3.4</v>
      </c>
      <c r="H145" s="268"/>
      <c r="I145" s="268">
        <v>3.02</v>
      </c>
      <c r="J145" s="270">
        <v>1</v>
      </c>
      <c r="K145" s="268"/>
      <c r="L145" s="268">
        <f t="shared" si="9"/>
        <v>10.267999999999999</v>
      </c>
      <c r="M145" s="111"/>
      <c r="N145" s="111"/>
      <c r="O145" s="111"/>
      <c r="P145" s="111"/>
    </row>
    <row r="146" spans="3:16" x14ac:dyDescent="0.3">
      <c r="C146" s="114"/>
      <c r="D146" s="266" t="s">
        <v>582</v>
      </c>
      <c r="E146" s="269" t="s">
        <v>0</v>
      </c>
      <c r="F146" s="270">
        <v>1</v>
      </c>
      <c r="G146" s="268">
        <v>3.4</v>
      </c>
      <c r="H146" s="268"/>
      <c r="I146" s="268">
        <v>3.02</v>
      </c>
      <c r="J146" s="270">
        <v>1</v>
      </c>
      <c r="K146" s="268"/>
      <c r="L146" s="268">
        <f t="shared" si="9"/>
        <v>10.267999999999999</v>
      </c>
      <c r="M146" s="111"/>
      <c r="N146" s="111"/>
      <c r="O146" s="111"/>
      <c r="P146" s="111"/>
    </row>
    <row r="147" spans="3:16" x14ac:dyDescent="0.3">
      <c r="C147" s="114"/>
      <c r="D147" s="233" t="s">
        <v>589</v>
      </c>
      <c r="E147" s="234" t="s">
        <v>0</v>
      </c>
      <c r="F147" s="235">
        <v>1</v>
      </c>
      <c r="G147" s="236">
        <v>3.4</v>
      </c>
      <c r="H147" s="236"/>
      <c r="I147" s="268">
        <v>2.17</v>
      </c>
      <c r="J147" s="235">
        <v>1</v>
      </c>
      <c r="K147" s="237"/>
      <c r="L147" s="237">
        <f t="shared" si="9"/>
        <v>7.3779999999999992</v>
      </c>
      <c r="M147" s="111"/>
      <c r="N147" s="111"/>
      <c r="O147" s="111"/>
      <c r="P147" s="111"/>
    </row>
    <row r="148" spans="3:16" x14ac:dyDescent="0.3">
      <c r="C148" s="114"/>
      <c r="D148" s="233" t="s">
        <v>585</v>
      </c>
      <c r="E148" s="234" t="s">
        <v>0</v>
      </c>
      <c r="F148" s="235">
        <v>1</v>
      </c>
      <c r="G148" s="236">
        <v>3.4</v>
      </c>
      <c r="H148" s="236"/>
      <c r="I148" s="268">
        <v>2.17</v>
      </c>
      <c r="J148" s="235">
        <v>1</v>
      </c>
      <c r="K148" s="237"/>
      <c r="L148" s="237">
        <f t="shared" si="9"/>
        <v>7.3779999999999992</v>
      </c>
      <c r="M148" s="111"/>
      <c r="N148" s="111"/>
      <c r="O148" s="111"/>
      <c r="P148" s="111"/>
    </row>
    <row r="149" spans="3:16" x14ac:dyDescent="0.3">
      <c r="C149" s="114"/>
      <c r="D149" s="233" t="s">
        <v>586</v>
      </c>
      <c r="E149" s="234" t="s">
        <v>0</v>
      </c>
      <c r="F149" s="235">
        <v>1</v>
      </c>
      <c r="G149" s="236">
        <v>1</v>
      </c>
      <c r="H149" s="236"/>
      <c r="I149" s="268">
        <v>3.02</v>
      </c>
      <c r="J149" s="235">
        <v>1</v>
      </c>
      <c r="K149" s="237"/>
      <c r="L149" s="237">
        <f t="shared" si="9"/>
        <v>3.02</v>
      </c>
      <c r="M149" s="111"/>
      <c r="N149" s="111"/>
      <c r="O149" s="111"/>
      <c r="P149" s="111"/>
    </row>
    <row r="150" spans="3:16" x14ac:dyDescent="0.3">
      <c r="C150" s="114"/>
      <c r="D150" s="233" t="s">
        <v>586</v>
      </c>
      <c r="E150" s="234" t="s">
        <v>0</v>
      </c>
      <c r="F150" s="235">
        <v>1</v>
      </c>
      <c r="G150" s="236">
        <v>2.4</v>
      </c>
      <c r="H150" s="236"/>
      <c r="I150" s="268">
        <v>2.17</v>
      </c>
      <c r="J150" s="235">
        <v>1</v>
      </c>
      <c r="K150" s="237"/>
      <c r="L150" s="237">
        <f t="shared" si="9"/>
        <v>5.2079999999999993</v>
      </c>
      <c r="M150" s="111"/>
      <c r="N150" s="111"/>
      <c r="O150" s="111"/>
      <c r="P150" s="111"/>
    </row>
    <row r="151" spans="3:16" x14ac:dyDescent="0.3">
      <c r="C151" s="114"/>
      <c r="D151" s="266" t="s">
        <v>587</v>
      </c>
      <c r="E151" s="269" t="s">
        <v>0</v>
      </c>
      <c r="F151" s="270">
        <v>1</v>
      </c>
      <c r="G151" s="268">
        <v>0.97</v>
      </c>
      <c r="H151" s="268"/>
      <c r="I151" s="268">
        <v>3.02</v>
      </c>
      <c r="J151" s="270">
        <v>1</v>
      </c>
      <c r="K151" s="268"/>
      <c r="L151" s="268">
        <f t="shared" si="9"/>
        <v>2.9293999999999998</v>
      </c>
      <c r="M151" s="111"/>
      <c r="N151" s="111"/>
      <c r="O151" s="111"/>
      <c r="P151" s="111"/>
    </row>
    <row r="152" spans="3:16" x14ac:dyDescent="0.3">
      <c r="C152" s="114"/>
      <c r="D152" s="266" t="s">
        <v>588</v>
      </c>
      <c r="E152" s="269" t="s">
        <v>0</v>
      </c>
      <c r="F152" s="270">
        <v>1</v>
      </c>
      <c r="G152" s="268">
        <v>1.4</v>
      </c>
      <c r="H152" s="268"/>
      <c r="I152" s="268">
        <v>3.02</v>
      </c>
      <c r="J152" s="270">
        <v>1</v>
      </c>
      <c r="K152" s="268"/>
      <c r="L152" s="268">
        <f t="shared" si="9"/>
        <v>4.2279999999999998</v>
      </c>
      <c r="M152" s="111"/>
      <c r="N152" s="111"/>
      <c r="O152" s="111"/>
      <c r="P152" s="111"/>
    </row>
    <row r="153" spans="3:16" x14ac:dyDescent="0.3">
      <c r="C153" s="106"/>
      <c r="D153" s="115" t="s">
        <v>106</v>
      </c>
      <c r="E153" s="121"/>
      <c r="F153" s="3"/>
      <c r="G153" s="122"/>
      <c r="H153" s="122"/>
      <c r="I153" s="122"/>
      <c r="J153" s="3"/>
      <c r="K153" s="113"/>
      <c r="L153" s="113"/>
      <c r="M153" s="113"/>
      <c r="N153" s="113"/>
      <c r="O153" s="113"/>
      <c r="P153" s="113"/>
    </row>
    <row r="154" spans="3:16" x14ac:dyDescent="0.3">
      <c r="C154" s="114"/>
      <c r="D154" s="233" t="s">
        <v>562</v>
      </c>
      <c r="E154" s="239" t="s">
        <v>0</v>
      </c>
      <c r="F154" s="235">
        <v>1</v>
      </c>
      <c r="G154" s="236">
        <v>8.9</v>
      </c>
      <c r="H154" s="236"/>
      <c r="I154" s="268">
        <v>2.65</v>
      </c>
      <c r="J154" s="235">
        <v>2</v>
      </c>
      <c r="K154" s="237"/>
      <c r="L154" s="237">
        <f t="shared" ref="L154:L162" si="10">IF(F154="","",PRODUCT(F154:J154))</f>
        <v>47.17</v>
      </c>
      <c r="M154" s="111"/>
      <c r="N154" s="111"/>
      <c r="O154" s="111"/>
      <c r="P154" s="111"/>
    </row>
    <row r="155" spans="3:16" x14ac:dyDescent="0.3">
      <c r="C155" s="114"/>
      <c r="D155" s="233" t="s">
        <v>590</v>
      </c>
      <c r="E155" s="239" t="s">
        <v>0</v>
      </c>
      <c r="F155" s="235">
        <v>1</v>
      </c>
      <c r="G155" s="236">
        <v>8.9</v>
      </c>
      <c r="H155" s="236"/>
      <c r="I155" s="268">
        <v>2.65</v>
      </c>
      <c r="J155" s="235">
        <v>2</v>
      </c>
      <c r="K155" s="237"/>
      <c r="L155" s="237">
        <f t="shared" si="10"/>
        <v>47.17</v>
      </c>
      <c r="M155" s="111"/>
      <c r="N155" s="111"/>
      <c r="O155" s="111"/>
      <c r="P155" s="111"/>
    </row>
    <row r="156" spans="3:16" x14ac:dyDescent="0.3">
      <c r="C156" s="114"/>
      <c r="D156" s="233" t="s">
        <v>580</v>
      </c>
      <c r="E156" s="239" t="s">
        <v>0</v>
      </c>
      <c r="F156" s="235">
        <v>2</v>
      </c>
      <c r="G156" s="236">
        <v>1.2</v>
      </c>
      <c r="H156" s="236"/>
      <c r="I156" s="236">
        <v>2.1</v>
      </c>
      <c r="J156" s="235">
        <v>1</v>
      </c>
      <c r="K156" s="237"/>
      <c r="L156" s="237">
        <f t="shared" si="10"/>
        <v>5.04</v>
      </c>
      <c r="M156" s="111"/>
      <c r="N156" s="111"/>
      <c r="O156" s="111"/>
      <c r="P156" s="111"/>
    </row>
    <row r="157" spans="3:16" x14ac:dyDescent="0.3">
      <c r="C157" s="114"/>
      <c r="D157" s="233" t="s">
        <v>581</v>
      </c>
      <c r="E157" s="239" t="s">
        <v>0</v>
      </c>
      <c r="F157" s="235">
        <v>2</v>
      </c>
      <c r="G157" s="236">
        <v>1.2</v>
      </c>
      <c r="H157" s="236"/>
      <c r="I157" s="236">
        <v>2.1</v>
      </c>
      <c r="J157" s="235">
        <v>1</v>
      </c>
      <c r="K157" s="237"/>
      <c r="L157" s="237">
        <f t="shared" si="10"/>
        <v>5.04</v>
      </c>
      <c r="M157" s="111"/>
      <c r="N157" s="111"/>
      <c r="O157" s="111"/>
      <c r="P157" s="111"/>
    </row>
    <row r="158" spans="3:16" x14ac:dyDescent="0.3">
      <c r="C158" s="114"/>
      <c r="D158" s="233" t="s">
        <v>582</v>
      </c>
      <c r="E158" s="239" t="s">
        <v>0</v>
      </c>
      <c r="F158" s="235">
        <v>2</v>
      </c>
      <c r="G158" s="236">
        <v>1.2</v>
      </c>
      <c r="H158" s="236"/>
      <c r="I158" s="236">
        <v>2.1</v>
      </c>
      <c r="J158" s="235">
        <v>1</v>
      </c>
      <c r="K158" s="237"/>
      <c r="L158" s="237">
        <f t="shared" si="10"/>
        <v>5.04</v>
      </c>
      <c r="M158" s="111"/>
      <c r="N158" s="111"/>
      <c r="O158" s="111"/>
      <c r="P158" s="111"/>
    </row>
    <row r="159" spans="3:16" x14ac:dyDescent="0.3">
      <c r="C159" s="114"/>
      <c r="D159" s="233" t="s">
        <v>589</v>
      </c>
      <c r="E159" s="239" t="s">
        <v>0</v>
      </c>
      <c r="F159" s="235">
        <v>2</v>
      </c>
      <c r="G159" s="236">
        <v>1.2</v>
      </c>
      <c r="H159" s="236"/>
      <c r="I159" s="236">
        <v>2.1</v>
      </c>
      <c r="J159" s="235">
        <v>1</v>
      </c>
      <c r="K159" s="237"/>
      <c r="L159" s="237">
        <f t="shared" si="10"/>
        <v>5.04</v>
      </c>
      <c r="M159" s="111"/>
      <c r="N159" s="111"/>
      <c r="O159" s="111"/>
      <c r="P159" s="111"/>
    </row>
    <row r="160" spans="3:16" x14ac:dyDescent="0.3">
      <c r="C160" s="106"/>
      <c r="D160" s="233" t="s">
        <v>585</v>
      </c>
      <c r="E160" s="239" t="s">
        <v>0</v>
      </c>
      <c r="F160" s="235">
        <v>2</v>
      </c>
      <c r="G160" s="236">
        <v>1.2</v>
      </c>
      <c r="H160" s="236"/>
      <c r="I160" s="236">
        <v>2.1</v>
      </c>
      <c r="J160" s="235">
        <v>1</v>
      </c>
      <c r="K160" s="237"/>
      <c r="L160" s="237">
        <f t="shared" si="10"/>
        <v>5.04</v>
      </c>
      <c r="M160" s="113"/>
      <c r="N160" s="113"/>
      <c r="O160" s="113"/>
      <c r="P160" s="113"/>
    </row>
    <row r="161" spans="3:16" x14ac:dyDescent="0.3">
      <c r="C161" s="106"/>
      <c r="D161" s="233" t="s">
        <v>586</v>
      </c>
      <c r="E161" s="239" t="s">
        <v>0</v>
      </c>
      <c r="F161" s="235">
        <v>2</v>
      </c>
      <c r="G161" s="236">
        <v>1.2</v>
      </c>
      <c r="H161" s="236"/>
      <c r="I161" s="236">
        <v>2.1</v>
      </c>
      <c r="J161" s="235">
        <v>1</v>
      </c>
      <c r="K161" s="237"/>
      <c r="L161" s="237">
        <f t="shared" si="10"/>
        <v>5.04</v>
      </c>
      <c r="M161" s="113"/>
      <c r="N161" s="113"/>
      <c r="O161" s="113"/>
      <c r="P161" s="113"/>
    </row>
    <row r="162" spans="3:16" x14ac:dyDescent="0.3">
      <c r="C162" s="106"/>
      <c r="D162" s="266" t="s">
        <v>591</v>
      </c>
      <c r="E162" s="269" t="s">
        <v>0</v>
      </c>
      <c r="F162" s="270">
        <v>1</v>
      </c>
      <c r="G162" s="268">
        <v>2.37</v>
      </c>
      <c r="H162" s="274"/>
      <c r="I162" s="268">
        <v>2.1</v>
      </c>
      <c r="J162" s="270">
        <v>1</v>
      </c>
      <c r="K162" s="274"/>
      <c r="L162" s="268">
        <f t="shared" si="10"/>
        <v>4.9770000000000003</v>
      </c>
      <c r="M162" s="113"/>
      <c r="N162" s="113"/>
      <c r="O162" s="113"/>
      <c r="P162" s="113"/>
    </row>
    <row r="163" spans="3:16" ht="14.4" x14ac:dyDescent="0.3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3:16" x14ac:dyDescent="0.3">
      <c r="C164" s="99" t="s">
        <v>1182</v>
      </c>
      <c r="D164" s="226" t="s">
        <v>520</v>
      </c>
      <c r="E164" s="101" t="s">
        <v>0</v>
      </c>
      <c r="F164" s="1"/>
      <c r="G164" s="2"/>
      <c r="H164" s="2"/>
      <c r="I164" s="2"/>
      <c r="J164" s="3"/>
      <c r="K164" s="103"/>
      <c r="L164" s="103"/>
      <c r="M164" s="103"/>
      <c r="N164" s="103"/>
      <c r="O164" s="103"/>
      <c r="P164" s="103">
        <f>SUM(L164:L233)</f>
        <v>635.35659999999984</v>
      </c>
    </row>
    <row r="165" spans="3:16" x14ac:dyDescent="0.3">
      <c r="C165" s="106"/>
      <c r="D165" s="115" t="s">
        <v>123</v>
      </c>
      <c r="E165" s="121"/>
      <c r="F165" s="3"/>
      <c r="G165" s="122" t="s">
        <v>198</v>
      </c>
      <c r="H165" s="122"/>
      <c r="I165" s="122"/>
      <c r="J165" s="3"/>
      <c r="K165" s="113"/>
      <c r="L165" s="113"/>
      <c r="M165" s="113"/>
      <c r="N165" s="113"/>
      <c r="O165" s="113"/>
      <c r="P165" s="113"/>
    </row>
    <row r="166" spans="3:16" x14ac:dyDescent="0.3">
      <c r="C166" s="114"/>
      <c r="D166" s="233" t="s">
        <v>601</v>
      </c>
      <c r="E166" s="234" t="s">
        <v>0</v>
      </c>
      <c r="F166" s="235">
        <v>1</v>
      </c>
      <c r="G166" s="236">
        <v>2.85</v>
      </c>
      <c r="H166" s="236"/>
      <c r="I166" s="236">
        <v>3.15</v>
      </c>
      <c r="J166" s="235">
        <v>1</v>
      </c>
      <c r="K166" s="237"/>
      <c r="L166" s="237">
        <f>IF(F166="","",PRODUCT(F166:J166))</f>
        <v>8.9774999999999991</v>
      </c>
      <c r="M166" s="111"/>
      <c r="N166" s="111"/>
      <c r="O166" s="111"/>
      <c r="P166" s="111"/>
    </row>
    <row r="167" spans="3:16" x14ac:dyDescent="0.3">
      <c r="C167" s="114"/>
      <c r="D167" s="233" t="s">
        <v>602</v>
      </c>
      <c r="E167" s="234" t="s">
        <v>0</v>
      </c>
      <c r="F167" s="235">
        <v>1</v>
      </c>
      <c r="G167" s="236">
        <v>1.65</v>
      </c>
      <c r="H167" s="236"/>
      <c r="I167" s="236">
        <v>3.15</v>
      </c>
      <c r="J167" s="235">
        <v>1</v>
      </c>
      <c r="K167" s="237"/>
      <c r="L167" s="237">
        <f t="shared" ref="L167:L181" si="11">IF(F167="","",PRODUCT(F167:J167))</f>
        <v>5.1974999999999998</v>
      </c>
      <c r="M167" s="111"/>
      <c r="N167" s="111"/>
      <c r="O167" s="111"/>
      <c r="P167" s="111"/>
    </row>
    <row r="168" spans="3:16" x14ac:dyDescent="0.3">
      <c r="C168" s="114"/>
      <c r="D168" s="233" t="s">
        <v>603</v>
      </c>
      <c r="E168" s="234" t="s">
        <v>0</v>
      </c>
      <c r="F168" s="235">
        <v>1</v>
      </c>
      <c r="G168" s="236">
        <v>1.65</v>
      </c>
      <c r="H168" s="236"/>
      <c r="I168" s="236">
        <v>3.15</v>
      </c>
      <c r="J168" s="235">
        <v>1</v>
      </c>
      <c r="K168" s="237"/>
      <c r="L168" s="237">
        <f t="shared" si="11"/>
        <v>5.1974999999999998</v>
      </c>
      <c r="M168" s="111"/>
      <c r="N168" s="111"/>
      <c r="O168" s="111"/>
      <c r="P168" s="111"/>
    </row>
    <row r="169" spans="3:16" x14ac:dyDescent="0.3">
      <c r="C169" s="114"/>
      <c r="D169" s="233" t="s">
        <v>604</v>
      </c>
      <c r="E169" s="234" t="s">
        <v>0</v>
      </c>
      <c r="F169" s="235">
        <v>1</v>
      </c>
      <c r="G169" s="236">
        <v>1.8</v>
      </c>
      <c r="H169" s="236"/>
      <c r="I169" s="236">
        <v>2.75</v>
      </c>
      <c r="J169" s="235">
        <v>1</v>
      </c>
      <c r="K169" s="237"/>
      <c r="L169" s="237">
        <f t="shared" si="11"/>
        <v>4.95</v>
      </c>
      <c r="M169" s="111"/>
      <c r="N169" s="111"/>
      <c r="O169" s="111"/>
      <c r="P169" s="111"/>
    </row>
    <row r="170" spans="3:16" x14ac:dyDescent="0.3">
      <c r="C170" s="114"/>
      <c r="D170" s="233" t="s">
        <v>605</v>
      </c>
      <c r="E170" s="234" t="s">
        <v>0</v>
      </c>
      <c r="F170" s="235">
        <v>1</v>
      </c>
      <c r="G170" s="236">
        <v>1.8</v>
      </c>
      <c r="H170" s="236"/>
      <c r="I170" s="236">
        <v>2.75</v>
      </c>
      <c r="J170" s="235">
        <v>1</v>
      </c>
      <c r="K170" s="237"/>
      <c r="L170" s="237">
        <f t="shared" si="11"/>
        <v>4.95</v>
      </c>
      <c r="M170" s="111"/>
      <c r="N170" s="111"/>
      <c r="O170" s="111"/>
      <c r="P170" s="111"/>
    </row>
    <row r="171" spans="3:16" x14ac:dyDescent="0.3">
      <c r="C171" s="114"/>
      <c r="D171" s="233" t="s">
        <v>606</v>
      </c>
      <c r="E171" s="234" t="s">
        <v>0</v>
      </c>
      <c r="F171" s="235">
        <v>1</v>
      </c>
      <c r="G171" s="236">
        <v>1.8</v>
      </c>
      <c r="H171" s="236"/>
      <c r="I171" s="236">
        <v>2.75</v>
      </c>
      <c r="J171" s="235">
        <v>1</v>
      </c>
      <c r="K171" s="237"/>
      <c r="L171" s="237">
        <f t="shared" si="11"/>
        <v>4.95</v>
      </c>
      <c r="M171" s="111"/>
      <c r="N171" s="111"/>
      <c r="O171" s="111"/>
      <c r="P171" s="111"/>
    </row>
    <row r="172" spans="3:16" x14ac:dyDescent="0.3">
      <c r="C172" s="114"/>
      <c r="D172" s="233" t="s">
        <v>607</v>
      </c>
      <c r="E172" s="234" t="s">
        <v>0</v>
      </c>
      <c r="F172" s="235">
        <v>1</v>
      </c>
      <c r="G172" s="236">
        <v>7.05</v>
      </c>
      <c r="H172" s="236"/>
      <c r="I172" s="236">
        <v>2.9</v>
      </c>
      <c r="J172" s="235">
        <v>1</v>
      </c>
      <c r="K172" s="237"/>
      <c r="L172" s="237">
        <f t="shared" si="11"/>
        <v>20.445</v>
      </c>
      <c r="M172" s="111"/>
      <c r="N172" s="111"/>
      <c r="O172" s="111"/>
      <c r="P172" s="111"/>
    </row>
    <row r="173" spans="3:16" x14ac:dyDescent="0.3">
      <c r="C173" s="114"/>
      <c r="D173" s="233" t="s">
        <v>608</v>
      </c>
      <c r="E173" s="234" t="s">
        <v>0</v>
      </c>
      <c r="F173" s="235">
        <v>1</v>
      </c>
      <c r="G173" s="236">
        <v>3.7</v>
      </c>
      <c r="H173" s="236"/>
      <c r="I173" s="236">
        <v>2.9</v>
      </c>
      <c r="J173" s="235">
        <v>1</v>
      </c>
      <c r="K173" s="237"/>
      <c r="L173" s="237">
        <f t="shared" si="11"/>
        <v>10.73</v>
      </c>
      <c r="M173" s="111"/>
      <c r="N173" s="111"/>
      <c r="O173" s="111"/>
      <c r="P173" s="111"/>
    </row>
    <row r="174" spans="3:16" x14ac:dyDescent="0.3">
      <c r="C174" s="114"/>
      <c r="D174" s="233" t="s">
        <v>609</v>
      </c>
      <c r="E174" s="234" t="s">
        <v>0</v>
      </c>
      <c r="F174" s="235">
        <v>1</v>
      </c>
      <c r="G174" s="236">
        <v>2.85</v>
      </c>
      <c r="H174" s="236"/>
      <c r="I174" s="236">
        <v>3.15</v>
      </c>
      <c r="J174" s="235">
        <v>1</v>
      </c>
      <c r="K174" s="237"/>
      <c r="L174" s="237">
        <f t="shared" si="11"/>
        <v>8.9774999999999991</v>
      </c>
      <c r="M174" s="111"/>
      <c r="N174" s="111"/>
      <c r="O174" s="111"/>
      <c r="P174" s="111"/>
    </row>
    <row r="175" spans="3:16" x14ac:dyDescent="0.3">
      <c r="C175" s="114"/>
      <c r="D175" s="233" t="s">
        <v>610</v>
      </c>
      <c r="E175" s="234" t="s">
        <v>0</v>
      </c>
      <c r="F175" s="235">
        <v>1</v>
      </c>
      <c r="G175" s="236">
        <v>1.65</v>
      </c>
      <c r="H175" s="236"/>
      <c r="I175" s="236">
        <v>3.15</v>
      </c>
      <c r="J175" s="235">
        <v>1</v>
      </c>
      <c r="K175" s="237"/>
      <c r="L175" s="237">
        <f t="shared" si="11"/>
        <v>5.1974999999999998</v>
      </c>
      <c r="M175" s="111"/>
      <c r="N175" s="111"/>
      <c r="O175" s="111"/>
      <c r="P175" s="111"/>
    </row>
    <row r="176" spans="3:16" x14ac:dyDescent="0.3">
      <c r="C176" s="114"/>
      <c r="D176" s="233" t="s">
        <v>611</v>
      </c>
      <c r="E176" s="234" t="s">
        <v>0</v>
      </c>
      <c r="F176" s="235">
        <v>1</v>
      </c>
      <c r="G176" s="236">
        <v>1.65</v>
      </c>
      <c r="H176" s="236"/>
      <c r="I176" s="236">
        <v>3.15</v>
      </c>
      <c r="J176" s="235">
        <v>1</v>
      </c>
      <c r="K176" s="237"/>
      <c r="L176" s="237">
        <f t="shared" si="11"/>
        <v>5.1974999999999998</v>
      </c>
      <c r="M176" s="111"/>
      <c r="N176" s="111"/>
      <c r="O176" s="111"/>
      <c r="P176" s="111"/>
    </row>
    <row r="177" spans="3:16" x14ac:dyDescent="0.3">
      <c r="C177" s="114"/>
      <c r="D177" s="233" t="s">
        <v>612</v>
      </c>
      <c r="E177" s="234" t="s">
        <v>0</v>
      </c>
      <c r="F177" s="235">
        <v>1</v>
      </c>
      <c r="G177" s="236">
        <v>1.8</v>
      </c>
      <c r="H177" s="236"/>
      <c r="I177" s="236">
        <v>2.75</v>
      </c>
      <c r="J177" s="235">
        <v>1</v>
      </c>
      <c r="K177" s="237"/>
      <c r="L177" s="237">
        <f t="shared" si="11"/>
        <v>4.95</v>
      </c>
      <c r="M177" s="111"/>
      <c r="N177" s="111"/>
      <c r="O177" s="111"/>
      <c r="P177" s="111"/>
    </row>
    <row r="178" spans="3:16" x14ac:dyDescent="0.3">
      <c r="C178" s="114"/>
      <c r="D178" s="233" t="s">
        <v>613</v>
      </c>
      <c r="E178" s="234" t="s">
        <v>0</v>
      </c>
      <c r="F178" s="235">
        <v>1</v>
      </c>
      <c r="G178" s="236">
        <v>1.8</v>
      </c>
      <c r="H178" s="236"/>
      <c r="I178" s="236">
        <v>2.75</v>
      </c>
      <c r="J178" s="235">
        <v>1</v>
      </c>
      <c r="K178" s="237"/>
      <c r="L178" s="237">
        <f t="shared" si="11"/>
        <v>4.95</v>
      </c>
      <c r="M178" s="111"/>
      <c r="N178" s="111"/>
      <c r="O178" s="111"/>
      <c r="P178" s="111"/>
    </row>
    <row r="179" spans="3:16" x14ac:dyDescent="0.3">
      <c r="C179" s="114"/>
      <c r="D179" s="233" t="s">
        <v>614</v>
      </c>
      <c r="E179" s="234" t="s">
        <v>0</v>
      </c>
      <c r="F179" s="235">
        <v>1</v>
      </c>
      <c r="G179" s="236">
        <v>1.8</v>
      </c>
      <c r="H179" s="236"/>
      <c r="I179" s="236">
        <v>2.75</v>
      </c>
      <c r="J179" s="235">
        <v>1</v>
      </c>
      <c r="K179" s="237"/>
      <c r="L179" s="237">
        <f t="shared" si="11"/>
        <v>4.95</v>
      </c>
      <c r="M179" s="111"/>
      <c r="N179" s="111"/>
      <c r="O179" s="111"/>
      <c r="P179" s="111"/>
    </row>
    <row r="180" spans="3:16" x14ac:dyDescent="0.3">
      <c r="C180" s="114"/>
      <c r="D180" s="233" t="s">
        <v>615</v>
      </c>
      <c r="E180" s="234" t="s">
        <v>0</v>
      </c>
      <c r="F180" s="235">
        <v>1</v>
      </c>
      <c r="G180" s="236">
        <v>7.2</v>
      </c>
      <c r="H180" s="236"/>
      <c r="I180" s="236">
        <v>2.9</v>
      </c>
      <c r="J180" s="235">
        <v>1</v>
      </c>
      <c r="K180" s="237"/>
      <c r="L180" s="237">
        <f t="shared" si="11"/>
        <v>20.88</v>
      </c>
      <c r="M180" s="111"/>
      <c r="N180" s="111"/>
      <c r="O180" s="111"/>
      <c r="P180" s="111"/>
    </row>
    <row r="181" spans="3:16" x14ac:dyDescent="0.3">
      <c r="C181" s="114"/>
      <c r="D181" s="233" t="s">
        <v>616</v>
      </c>
      <c r="E181" s="234" t="s">
        <v>0</v>
      </c>
      <c r="F181" s="235">
        <v>1</v>
      </c>
      <c r="G181" s="236">
        <v>3.45</v>
      </c>
      <c r="H181" s="236"/>
      <c r="I181" s="236">
        <v>2.9</v>
      </c>
      <c r="J181" s="235">
        <v>1</v>
      </c>
      <c r="K181" s="237"/>
      <c r="L181" s="237">
        <f t="shared" si="11"/>
        <v>10.005000000000001</v>
      </c>
      <c r="M181" s="111"/>
      <c r="N181" s="111"/>
      <c r="O181" s="111"/>
      <c r="P181" s="111"/>
    </row>
    <row r="182" spans="3:16" x14ac:dyDescent="0.3">
      <c r="C182" s="106"/>
      <c r="D182" s="115" t="s">
        <v>127</v>
      </c>
      <c r="E182" s="121"/>
      <c r="F182" s="3"/>
      <c r="G182" s="122" t="s">
        <v>198</v>
      </c>
      <c r="H182" s="122"/>
      <c r="I182" s="122"/>
      <c r="J182" s="3"/>
      <c r="K182" s="113"/>
      <c r="L182" s="113"/>
      <c r="M182" s="113"/>
      <c r="N182" s="113"/>
      <c r="O182" s="113"/>
      <c r="P182" s="113"/>
    </row>
    <row r="183" spans="3:16" x14ac:dyDescent="0.3">
      <c r="C183" s="114"/>
      <c r="D183" s="233" t="s">
        <v>617</v>
      </c>
      <c r="E183" s="234" t="s">
        <v>0</v>
      </c>
      <c r="F183" s="235">
        <v>2</v>
      </c>
      <c r="G183" s="236">
        <v>0.6</v>
      </c>
      <c r="H183" s="236"/>
      <c r="I183" s="236">
        <v>3.02</v>
      </c>
      <c r="J183" s="235">
        <v>1</v>
      </c>
      <c r="K183" s="237"/>
      <c r="L183" s="237">
        <f t="shared" ref="L183:L190" si="12">IF(F183="","",PRODUCT(F183:J183))</f>
        <v>3.6239999999999997</v>
      </c>
      <c r="M183" s="111"/>
      <c r="N183" s="111"/>
      <c r="O183" s="111"/>
      <c r="P183" s="111"/>
    </row>
    <row r="184" spans="3:16" x14ac:dyDescent="0.3">
      <c r="C184" s="114"/>
      <c r="D184" s="233" t="s">
        <v>617</v>
      </c>
      <c r="E184" s="234" t="s">
        <v>0</v>
      </c>
      <c r="F184" s="235">
        <v>13</v>
      </c>
      <c r="G184" s="236">
        <v>0.95</v>
      </c>
      <c r="H184" s="236"/>
      <c r="I184" s="236">
        <v>3.02</v>
      </c>
      <c r="J184" s="235">
        <v>1</v>
      </c>
      <c r="K184" s="237"/>
      <c r="L184" s="237">
        <f t="shared" si="12"/>
        <v>37.296999999999997</v>
      </c>
      <c r="M184" s="111"/>
      <c r="N184" s="111"/>
      <c r="O184" s="111"/>
      <c r="P184" s="111"/>
    </row>
    <row r="185" spans="3:16" x14ac:dyDescent="0.3">
      <c r="C185" s="114"/>
      <c r="D185" s="233" t="s">
        <v>601</v>
      </c>
      <c r="E185" s="234" t="s">
        <v>0</v>
      </c>
      <c r="F185" s="235">
        <v>1</v>
      </c>
      <c r="G185" s="236">
        <v>2.85</v>
      </c>
      <c r="H185" s="236"/>
      <c r="I185" s="236">
        <v>3.32</v>
      </c>
      <c r="J185" s="235">
        <v>1</v>
      </c>
      <c r="K185" s="237"/>
      <c r="L185" s="237">
        <f t="shared" si="12"/>
        <v>9.4619999999999997</v>
      </c>
      <c r="M185" s="111"/>
      <c r="N185" s="111"/>
      <c r="O185" s="111"/>
      <c r="P185" s="111"/>
    </row>
    <row r="186" spans="3:16" x14ac:dyDescent="0.3">
      <c r="C186" s="114"/>
      <c r="D186" s="233" t="s">
        <v>618</v>
      </c>
      <c r="E186" s="234" t="s">
        <v>0</v>
      </c>
      <c r="F186" s="235">
        <v>5</v>
      </c>
      <c r="G186" s="236">
        <v>1.8</v>
      </c>
      <c r="H186" s="236"/>
      <c r="I186" s="236">
        <v>3.32</v>
      </c>
      <c r="J186" s="235">
        <v>1</v>
      </c>
      <c r="K186" s="237"/>
      <c r="L186" s="237">
        <f t="shared" si="12"/>
        <v>29.88</v>
      </c>
      <c r="M186" s="111"/>
      <c r="N186" s="111"/>
      <c r="O186" s="111"/>
      <c r="P186" s="111"/>
    </row>
    <row r="187" spans="3:16" x14ac:dyDescent="0.3">
      <c r="C187" s="114"/>
      <c r="D187" s="233" t="s">
        <v>607</v>
      </c>
      <c r="E187" s="234" t="s">
        <v>0</v>
      </c>
      <c r="F187" s="235">
        <v>1</v>
      </c>
      <c r="G187" s="236">
        <v>2.6</v>
      </c>
      <c r="H187" s="236"/>
      <c r="I187" s="236">
        <v>2.72</v>
      </c>
      <c r="J187" s="235">
        <v>1</v>
      </c>
      <c r="K187" s="237"/>
      <c r="L187" s="237">
        <f t="shared" si="12"/>
        <v>7.072000000000001</v>
      </c>
      <c r="M187" s="111"/>
      <c r="N187" s="111"/>
      <c r="O187" s="111"/>
      <c r="P187" s="111"/>
    </row>
    <row r="188" spans="3:16" x14ac:dyDescent="0.3">
      <c r="C188" s="114"/>
      <c r="D188" s="233" t="s">
        <v>608</v>
      </c>
      <c r="E188" s="234" t="s">
        <v>0</v>
      </c>
      <c r="F188" s="235">
        <v>1</v>
      </c>
      <c r="G188" s="236">
        <f>3.45+0.85</f>
        <v>4.3</v>
      </c>
      <c r="H188" s="236"/>
      <c r="I188" s="236">
        <v>3.32</v>
      </c>
      <c r="J188" s="235">
        <v>1</v>
      </c>
      <c r="K188" s="237"/>
      <c r="L188" s="237">
        <f t="shared" si="12"/>
        <v>14.275999999999998</v>
      </c>
      <c r="M188" s="111"/>
      <c r="N188" s="111"/>
      <c r="O188" s="111"/>
      <c r="P188" s="111"/>
    </row>
    <row r="189" spans="3:16" x14ac:dyDescent="0.3">
      <c r="C189" s="114"/>
      <c r="D189" s="233" t="s">
        <v>609</v>
      </c>
      <c r="E189" s="234" t="s">
        <v>0</v>
      </c>
      <c r="F189" s="235">
        <v>1</v>
      </c>
      <c r="G189" s="236">
        <v>3.1</v>
      </c>
      <c r="H189" s="236"/>
      <c r="I189" s="236">
        <v>3.32</v>
      </c>
      <c r="J189" s="235">
        <v>1</v>
      </c>
      <c r="K189" s="236"/>
      <c r="L189" s="236">
        <f t="shared" si="12"/>
        <v>10.292</v>
      </c>
      <c r="M189" s="111"/>
      <c r="N189" s="111"/>
      <c r="O189" s="111"/>
      <c r="P189" s="111"/>
    </row>
    <row r="190" spans="3:16" x14ac:dyDescent="0.3">
      <c r="C190" s="114"/>
      <c r="D190" s="233" t="s">
        <v>616</v>
      </c>
      <c r="E190" s="234" t="s">
        <v>0</v>
      </c>
      <c r="F190" s="235">
        <v>1</v>
      </c>
      <c r="G190" s="236">
        <v>3.1</v>
      </c>
      <c r="H190" s="236"/>
      <c r="I190" s="236">
        <v>3.17</v>
      </c>
      <c r="J190" s="235">
        <v>1</v>
      </c>
      <c r="K190" s="237"/>
      <c r="L190" s="237">
        <f t="shared" si="12"/>
        <v>9.827</v>
      </c>
      <c r="M190" s="111"/>
      <c r="N190" s="111"/>
      <c r="O190" s="111"/>
      <c r="P190" s="111"/>
    </row>
    <row r="191" spans="3:16" x14ac:dyDescent="0.3">
      <c r="C191" s="106"/>
      <c r="D191" s="115" t="s">
        <v>68</v>
      </c>
      <c r="E191" s="121"/>
      <c r="F191" s="3"/>
      <c r="G191" s="122" t="s">
        <v>198</v>
      </c>
      <c r="H191" s="122"/>
      <c r="I191" s="122"/>
      <c r="J191" s="3"/>
      <c r="K191" s="113"/>
      <c r="L191" s="113"/>
      <c r="M191" s="113"/>
      <c r="N191" s="113"/>
      <c r="O191" s="113"/>
      <c r="P191" s="113"/>
    </row>
    <row r="192" spans="3:16" x14ac:dyDescent="0.3">
      <c r="C192" s="114"/>
      <c r="D192" s="233" t="s">
        <v>617</v>
      </c>
      <c r="E192" s="234" t="s">
        <v>0</v>
      </c>
      <c r="F192" s="235">
        <v>2</v>
      </c>
      <c r="G192" s="236">
        <v>0.6</v>
      </c>
      <c r="H192" s="236"/>
      <c r="I192" s="236">
        <v>3.02</v>
      </c>
      <c r="J192" s="235">
        <v>1</v>
      </c>
      <c r="K192" s="237"/>
      <c r="L192" s="237">
        <f t="shared" ref="L192:L207" si="13">IF(F192="","",PRODUCT(F192:J192))</f>
        <v>3.6239999999999997</v>
      </c>
      <c r="M192" s="111"/>
      <c r="N192" s="111"/>
      <c r="O192" s="111"/>
      <c r="P192" s="111"/>
    </row>
    <row r="193" spans="3:16" x14ac:dyDescent="0.3">
      <c r="C193" s="114"/>
      <c r="D193" s="233" t="s">
        <v>617</v>
      </c>
      <c r="E193" s="234" t="s">
        <v>0</v>
      </c>
      <c r="F193" s="235">
        <v>13</v>
      </c>
      <c r="G193" s="236">
        <v>0.95</v>
      </c>
      <c r="H193" s="236"/>
      <c r="I193" s="236">
        <v>3.02</v>
      </c>
      <c r="J193" s="235">
        <v>1</v>
      </c>
      <c r="K193" s="237"/>
      <c r="L193" s="237">
        <f t="shared" si="13"/>
        <v>37.296999999999997</v>
      </c>
      <c r="M193" s="111"/>
      <c r="N193" s="111"/>
      <c r="O193" s="111"/>
      <c r="P193" s="111"/>
    </row>
    <row r="194" spans="3:16" x14ac:dyDescent="0.3">
      <c r="C194" s="114"/>
      <c r="D194" s="233" t="s">
        <v>601</v>
      </c>
      <c r="E194" s="234" t="s">
        <v>0</v>
      </c>
      <c r="F194" s="235">
        <v>1</v>
      </c>
      <c r="G194" s="236">
        <f>2.85+0.85</f>
        <v>3.7</v>
      </c>
      <c r="H194" s="236"/>
      <c r="I194" s="236">
        <v>3.07</v>
      </c>
      <c r="J194" s="235">
        <v>1</v>
      </c>
      <c r="K194" s="237"/>
      <c r="L194" s="237">
        <f t="shared" si="13"/>
        <v>11.359</v>
      </c>
      <c r="M194" s="111"/>
      <c r="N194" s="111"/>
      <c r="O194" s="111"/>
      <c r="P194" s="111"/>
    </row>
    <row r="195" spans="3:16" x14ac:dyDescent="0.3">
      <c r="C195" s="114"/>
      <c r="D195" s="233" t="s">
        <v>602</v>
      </c>
      <c r="E195" s="234" t="s">
        <v>0</v>
      </c>
      <c r="F195" s="235">
        <v>1</v>
      </c>
      <c r="G195" s="236">
        <v>1.8</v>
      </c>
      <c r="H195" s="236"/>
      <c r="I195" s="236">
        <v>3.07</v>
      </c>
      <c r="J195" s="235">
        <v>1</v>
      </c>
      <c r="K195" s="237"/>
      <c r="L195" s="237">
        <f t="shared" si="13"/>
        <v>5.5259999999999998</v>
      </c>
      <c r="M195" s="111"/>
      <c r="N195" s="111"/>
      <c r="O195" s="111"/>
      <c r="P195" s="111"/>
    </row>
    <row r="196" spans="3:16" x14ac:dyDescent="0.3">
      <c r="C196" s="114"/>
      <c r="D196" s="233" t="s">
        <v>602</v>
      </c>
      <c r="E196" s="234" t="s">
        <v>0</v>
      </c>
      <c r="F196" s="235">
        <v>1</v>
      </c>
      <c r="G196" s="236">
        <v>1.4</v>
      </c>
      <c r="H196" s="236"/>
      <c r="I196" s="236">
        <v>3.32</v>
      </c>
      <c r="J196" s="235">
        <v>1</v>
      </c>
      <c r="K196" s="237"/>
      <c r="L196" s="237">
        <f t="shared" si="13"/>
        <v>4.6479999999999997</v>
      </c>
      <c r="M196" s="111"/>
      <c r="N196" s="111"/>
      <c r="O196" s="111"/>
      <c r="P196" s="111"/>
    </row>
    <row r="197" spans="3:16" x14ac:dyDescent="0.3">
      <c r="C197" s="114"/>
      <c r="D197" s="233" t="s">
        <v>619</v>
      </c>
      <c r="E197" s="234" t="s">
        <v>0</v>
      </c>
      <c r="F197" s="235">
        <v>4</v>
      </c>
      <c r="G197" s="236">
        <v>1.8</v>
      </c>
      <c r="H197" s="236"/>
      <c r="I197" s="236">
        <v>2.92</v>
      </c>
      <c r="J197" s="235">
        <v>1</v>
      </c>
      <c r="K197" s="237"/>
      <c r="L197" s="237">
        <f t="shared" si="13"/>
        <v>21.024000000000001</v>
      </c>
      <c r="M197" s="111"/>
      <c r="N197" s="111"/>
      <c r="O197" s="111"/>
      <c r="P197" s="111"/>
    </row>
    <row r="198" spans="3:16" x14ac:dyDescent="0.3">
      <c r="C198" s="114"/>
      <c r="D198" s="233" t="s">
        <v>619</v>
      </c>
      <c r="E198" s="234" t="s">
        <v>0</v>
      </c>
      <c r="F198" s="235">
        <v>4</v>
      </c>
      <c r="G198" s="236">
        <v>1.4</v>
      </c>
      <c r="H198" s="236"/>
      <c r="I198" s="236">
        <v>3.02</v>
      </c>
      <c r="J198" s="235">
        <v>1</v>
      </c>
      <c r="K198" s="237"/>
      <c r="L198" s="237">
        <f t="shared" si="13"/>
        <v>16.911999999999999</v>
      </c>
      <c r="M198" s="111"/>
      <c r="N198" s="111"/>
      <c r="O198" s="111"/>
      <c r="P198" s="111"/>
    </row>
    <row r="199" spans="3:16" x14ac:dyDescent="0.3">
      <c r="C199" s="114"/>
      <c r="D199" s="233" t="s">
        <v>607</v>
      </c>
      <c r="E199" s="234" t="s">
        <v>0</v>
      </c>
      <c r="F199" s="235">
        <v>1</v>
      </c>
      <c r="G199" s="236">
        <v>2.6</v>
      </c>
      <c r="H199" s="236"/>
      <c r="I199" s="236">
        <v>3.07</v>
      </c>
      <c r="J199" s="235">
        <v>1</v>
      </c>
      <c r="K199" s="237"/>
      <c r="L199" s="237">
        <f t="shared" si="13"/>
        <v>7.9820000000000002</v>
      </c>
      <c r="M199" s="111"/>
      <c r="N199" s="111"/>
      <c r="O199" s="111"/>
      <c r="P199" s="111"/>
    </row>
    <row r="200" spans="3:16" x14ac:dyDescent="0.3">
      <c r="C200" s="114"/>
      <c r="D200" s="233" t="s">
        <v>607</v>
      </c>
      <c r="E200" s="234" t="s">
        <v>0</v>
      </c>
      <c r="F200" s="235">
        <v>1</v>
      </c>
      <c r="G200" s="236">
        <v>1.4</v>
      </c>
      <c r="H200" s="236"/>
      <c r="I200" s="236">
        <v>3.02</v>
      </c>
      <c r="J200" s="235">
        <v>1</v>
      </c>
      <c r="K200" s="237"/>
      <c r="L200" s="237">
        <f t="shared" si="13"/>
        <v>4.2279999999999998</v>
      </c>
      <c r="M200" s="111"/>
      <c r="N200" s="111"/>
      <c r="O200" s="111"/>
      <c r="P200" s="111"/>
    </row>
    <row r="201" spans="3:16" x14ac:dyDescent="0.3">
      <c r="C201" s="114"/>
      <c r="D201" s="233" t="s">
        <v>608</v>
      </c>
      <c r="E201" s="234" t="s">
        <v>0</v>
      </c>
      <c r="F201" s="235">
        <v>1</v>
      </c>
      <c r="G201" s="236">
        <f>2.85+0.85</f>
        <v>3.7</v>
      </c>
      <c r="H201" s="236"/>
      <c r="I201" s="236">
        <v>3.07</v>
      </c>
      <c r="J201" s="235">
        <v>1</v>
      </c>
      <c r="K201" s="237"/>
      <c r="L201" s="237">
        <f t="shared" si="13"/>
        <v>11.359</v>
      </c>
      <c r="M201" s="111"/>
      <c r="N201" s="111"/>
      <c r="O201" s="111"/>
      <c r="P201" s="111"/>
    </row>
    <row r="202" spans="3:16" x14ac:dyDescent="0.3">
      <c r="C202" s="114"/>
      <c r="D202" s="233" t="s">
        <v>609</v>
      </c>
      <c r="E202" s="234" t="s">
        <v>0</v>
      </c>
      <c r="F202" s="235">
        <v>1</v>
      </c>
      <c r="G202" s="236">
        <v>3.1</v>
      </c>
      <c r="H202" s="236"/>
      <c r="I202" s="236">
        <v>3.07</v>
      </c>
      <c r="J202" s="235">
        <v>1</v>
      </c>
      <c r="K202" s="236"/>
      <c r="L202" s="236">
        <f t="shared" si="13"/>
        <v>9.5169999999999995</v>
      </c>
      <c r="M202" s="111"/>
      <c r="N202" s="111"/>
      <c r="O202" s="111"/>
      <c r="P202" s="111"/>
    </row>
    <row r="203" spans="3:16" x14ac:dyDescent="0.3">
      <c r="C203" s="114"/>
      <c r="D203" s="233" t="s">
        <v>610</v>
      </c>
      <c r="E203" s="234" t="s">
        <v>0</v>
      </c>
      <c r="F203" s="235">
        <v>1</v>
      </c>
      <c r="G203" s="236">
        <v>2.08</v>
      </c>
      <c r="H203" s="236"/>
      <c r="I203" s="236">
        <v>3.07</v>
      </c>
      <c r="J203" s="235">
        <v>1</v>
      </c>
      <c r="K203" s="237"/>
      <c r="L203" s="237">
        <f t="shared" si="13"/>
        <v>6.3856000000000002</v>
      </c>
      <c r="M203" s="111"/>
      <c r="N203" s="111"/>
      <c r="O203" s="111"/>
      <c r="P203" s="111"/>
    </row>
    <row r="204" spans="3:16" x14ac:dyDescent="0.3">
      <c r="C204" s="114"/>
      <c r="D204" s="233" t="s">
        <v>620</v>
      </c>
      <c r="E204" s="234" t="s">
        <v>0</v>
      </c>
      <c r="F204" s="235">
        <v>4</v>
      </c>
      <c r="G204" s="236">
        <v>2.08</v>
      </c>
      <c r="H204" s="236"/>
      <c r="I204" s="236">
        <v>3.25</v>
      </c>
      <c r="J204" s="235">
        <v>1</v>
      </c>
      <c r="K204" s="237"/>
      <c r="L204" s="237">
        <f t="shared" si="13"/>
        <v>27.04</v>
      </c>
      <c r="M204" s="111"/>
      <c r="N204" s="111"/>
      <c r="O204" s="111"/>
      <c r="P204" s="111"/>
    </row>
    <row r="205" spans="3:16" x14ac:dyDescent="0.3">
      <c r="C205" s="114"/>
      <c r="D205" s="233" t="s">
        <v>615</v>
      </c>
      <c r="E205" s="234" t="s">
        <v>0</v>
      </c>
      <c r="F205" s="235">
        <v>1</v>
      </c>
      <c r="G205" s="236">
        <v>3.7</v>
      </c>
      <c r="H205" s="236"/>
      <c r="I205" s="236">
        <v>3.07</v>
      </c>
      <c r="J205" s="235">
        <v>1</v>
      </c>
      <c r="K205" s="237"/>
      <c r="L205" s="237">
        <f t="shared" si="13"/>
        <v>11.359</v>
      </c>
      <c r="M205" s="111"/>
      <c r="N205" s="111"/>
      <c r="O205" s="111"/>
      <c r="P205" s="111"/>
    </row>
    <row r="206" spans="3:16" x14ac:dyDescent="0.3">
      <c r="C206" s="114"/>
      <c r="D206" s="233" t="s">
        <v>616</v>
      </c>
      <c r="E206" s="234" t="s">
        <v>0</v>
      </c>
      <c r="F206" s="235">
        <v>1</v>
      </c>
      <c r="G206" s="236">
        <v>3.1</v>
      </c>
      <c r="H206" s="236"/>
      <c r="I206" s="236">
        <v>3.07</v>
      </c>
      <c r="J206" s="235">
        <v>1</v>
      </c>
      <c r="K206" s="237"/>
      <c r="L206" s="237">
        <f t="shared" si="13"/>
        <v>9.5169999999999995</v>
      </c>
      <c r="M206" s="111"/>
      <c r="N206" s="111"/>
      <c r="O206" s="111"/>
      <c r="P206" s="111"/>
    </row>
    <row r="207" spans="3:16" x14ac:dyDescent="0.3">
      <c r="C207" s="114"/>
      <c r="D207" s="233" t="s">
        <v>616</v>
      </c>
      <c r="E207" s="234" t="s">
        <v>0</v>
      </c>
      <c r="F207" s="235">
        <v>1</v>
      </c>
      <c r="G207" s="236">
        <v>3.95</v>
      </c>
      <c r="H207" s="236"/>
      <c r="I207" s="236">
        <v>3.32</v>
      </c>
      <c r="J207" s="235">
        <v>1</v>
      </c>
      <c r="K207" s="237"/>
      <c r="L207" s="237">
        <f t="shared" si="13"/>
        <v>13.114000000000001</v>
      </c>
      <c r="M207" s="111"/>
      <c r="N207" s="111"/>
      <c r="O207" s="111"/>
      <c r="P207" s="111"/>
    </row>
    <row r="208" spans="3:16" x14ac:dyDescent="0.3">
      <c r="C208" s="106"/>
      <c r="D208" s="115" t="s">
        <v>106</v>
      </c>
      <c r="E208" s="121"/>
      <c r="F208" s="3"/>
      <c r="G208" s="122" t="s">
        <v>198</v>
      </c>
      <c r="H208" s="122"/>
      <c r="I208" s="122"/>
      <c r="J208" s="3"/>
      <c r="K208" s="113"/>
      <c r="L208" s="113"/>
      <c r="M208" s="113"/>
      <c r="N208" s="113"/>
      <c r="O208" s="113"/>
      <c r="P208" s="113"/>
    </row>
    <row r="209" spans="3:16" x14ac:dyDescent="0.3">
      <c r="C209" s="114"/>
      <c r="D209" s="233" t="s">
        <v>617</v>
      </c>
      <c r="E209" s="234" t="s">
        <v>0</v>
      </c>
      <c r="F209" s="235">
        <v>2</v>
      </c>
      <c r="G209" s="236">
        <v>0.6</v>
      </c>
      <c r="H209" s="236"/>
      <c r="I209" s="236">
        <v>2.9</v>
      </c>
      <c r="J209" s="235">
        <v>1</v>
      </c>
      <c r="K209" s="237"/>
      <c r="L209" s="237">
        <f t="shared" ref="L209:L232" si="14">IF(F209="","",PRODUCT(F209:J209))</f>
        <v>3.48</v>
      </c>
      <c r="M209" s="111"/>
      <c r="N209" s="111"/>
      <c r="O209" s="111"/>
      <c r="P209" s="111"/>
    </row>
    <row r="210" spans="3:16" x14ac:dyDescent="0.3">
      <c r="C210" s="114"/>
      <c r="D210" s="233" t="s">
        <v>617</v>
      </c>
      <c r="E210" s="234" t="s">
        <v>0</v>
      </c>
      <c r="F210" s="235">
        <v>13</v>
      </c>
      <c r="G210" s="236">
        <v>0.95</v>
      </c>
      <c r="H210" s="236"/>
      <c r="I210" s="236">
        <v>2.9</v>
      </c>
      <c r="J210" s="235">
        <v>1</v>
      </c>
      <c r="K210" s="237"/>
      <c r="L210" s="237">
        <f t="shared" si="14"/>
        <v>35.814999999999998</v>
      </c>
      <c r="M210" s="111"/>
      <c r="N210" s="111"/>
      <c r="O210" s="111"/>
      <c r="P210" s="111"/>
    </row>
    <row r="211" spans="3:16" x14ac:dyDescent="0.3">
      <c r="C211" s="114"/>
      <c r="D211" s="233" t="s">
        <v>601</v>
      </c>
      <c r="E211" s="234" t="s">
        <v>0</v>
      </c>
      <c r="F211" s="235">
        <v>1</v>
      </c>
      <c r="G211" s="236">
        <f>2.85+0.85</f>
        <v>3.7</v>
      </c>
      <c r="H211" s="236"/>
      <c r="I211" s="236">
        <v>3.25</v>
      </c>
      <c r="J211" s="235">
        <v>1</v>
      </c>
      <c r="K211" s="237"/>
      <c r="L211" s="237">
        <f t="shared" si="14"/>
        <v>12.025</v>
      </c>
      <c r="M211" s="111"/>
      <c r="N211" s="111"/>
      <c r="O211" s="111"/>
      <c r="P211" s="111"/>
    </row>
    <row r="212" spans="3:16" x14ac:dyDescent="0.3">
      <c r="C212" s="114"/>
      <c r="D212" s="233" t="s">
        <v>602</v>
      </c>
      <c r="E212" s="234" t="s">
        <v>0</v>
      </c>
      <c r="F212" s="235">
        <v>1</v>
      </c>
      <c r="G212" s="236">
        <v>1.8</v>
      </c>
      <c r="H212" s="236"/>
      <c r="I212" s="236">
        <v>3.25</v>
      </c>
      <c r="J212" s="235">
        <v>1</v>
      </c>
      <c r="K212" s="237"/>
      <c r="L212" s="237">
        <f t="shared" si="14"/>
        <v>5.8500000000000005</v>
      </c>
      <c r="M212" s="111"/>
      <c r="N212" s="111"/>
      <c r="O212" s="111"/>
      <c r="P212" s="111"/>
    </row>
    <row r="213" spans="3:16" x14ac:dyDescent="0.3">
      <c r="C213" s="114"/>
      <c r="D213" s="233" t="s">
        <v>602</v>
      </c>
      <c r="E213" s="234" t="s">
        <v>0</v>
      </c>
      <c r="F213" s="235">
        <v>1</v>
      </c>
      <c r="G213" s="236">
        <v>1.4</v>
      </c>
      <c r="H213" s="236"/>
      <c r="I213" s="236">
        <v>3.25</v>
      </c>
      <c r="J213" s="235">
        <v>1</v>
      </c>
      <c r="K213" s="237"/>
      <c r="L213" s="237">
        <f t="shared" si="14"/>
        <v>4.55</v>
      </c>
      <c r="M213" s="111"/>
      <c r="N213" s="111"/>
      <c r="O213" s="111"/>
      <c r="P213" s="111"/>
    </row>
    <row r="214" spans="3:16" x14ac:dyDescent="0.3">
      <c r="C214" s="114"/>
      <c r="D214" s="233" t="s">
        <v>603</v>
      </c>
      <c r="E214" s="234" t="s">
        <v>0</v>
      </c>
      <c r="F214" s="235">
        <v>1</v>
      </c>
      <c r="G214" s="236">
        <v>1.55</v>
      </c>
      <c r="H214" s="236"/>
      <c r="I214" s="236">
        <v>3.25</v>
      </c>
      <c r="J214" s="235">
        <v>1</v>
      </c>
      <c r="K214" s="237"/>
      <c r="L214" s="237">
        <f t="shared" si="14"/>
        <v>5.0375000000000005</v>
      </c>
      <c r="M214" s="111"/>
      <c r="N214" s="111"/>
      <c r="O214" s="111"/>
      <c r="P214" s="111"/>
    </row>
    <row r="215" spans="3:16" x14ac:dyDescent="0.3">
      <c r="C215" s="114"/>
      <c r="D215" s="233" t="s">
        <v>603</v>
      </c>
      <c r="E215" s="234" t="s">
        <v>0</v>
      </c>
      <c r="F215" s="235">
        <v>1</v>
      </c>
      <c r="G215" s="236">
        <v>1.4</v>
      </c>
      <c r="H215" s="236"/>
      <c r="I215" s="236">
        <v>3.25</v>
      </c>
      <c r="J215" s="235">
        <v>1</v>
      </c>
      <c r="K215" s="237"/>
      <c r="L215" s="237">
        <f t="shared" si="14"/>
        <v>4.55</v>
      </c>
      <c r="M215" s="111"/>
      <c r="N215" s="111"/>
      <c r="O215" s="111"/>
      <c r="P215" s="111"/>
    </row>
    <row r="216" spans="3:16" x14ac:dyDescent="0.3">
      <c r="C216" s="114"/>
      <c r="D216" s="233" t="s">
        <v>604</v>
      </c>
      <c r="E216" s="234" t="s">
        <v>0</v>
      </c>
      <c r="F216" s="235">
        <v>1</v>
      </c>
      <c r="G216" s="236">
        <v>1.8</v>
      </c>
      <c r="H216" s="236"/>
      <c r="I216" s="236">
        <v>3.25</v>
      </c>
      <c r="J216" s="235">
        <v>1</v>
      </c>
      <c r="K216" s="237"/>
      <c r="L216" s="237">
        <f t="shared" si="14"/>
        <v>5.8500000000000005</v>
      </c>
      <c r="M216" s="111"/>
      <c r="N216" s="111"/>
      <c r="O216" s="111"/>
      <c r="P216" s="111"/>
    </row>
    <row r="217" spans="3:16" x14ac:dyDescent="0.3">
      <c r="C217" s="114"/>
      <c r="D217" s="233" t="s">
        <v>604</v>
      </c>
      <c r="E217" s="234" t="s">
        <v>0</v>
      </c>
      <c r="F217" s="235">
        <v>1</v>
      </c>
      <c r="G217" s="236">
        <v>1.4</v>
      </c>
      <c r="H217" s="236"/>
      <c r="I217" s="236">
        <v>3.25</v>
      </c>
      <c r="J217" s="235">
        <v>1</v>
      </c>
      <c r="K217" s="237"/>
      <c r="L217" s="237">
        <f t="shared" si="14"/>
        <v>4.55</v>
      </c>
      <c r="M217" s="111"/>
      <c r="N217" s="111"/>
      <c r="O217" s="111"/>
      <c r="P217" s="111"/>
    </row>
    <row r="218" spans="3:16" x14ac:dyDescent="0.3">
      <c r="C218" s="114"/>
      <c r="D218" s="233" t="s">
        <v>605</v>
      </c>
      <c r="E218" s="234" t="s">
        <v>0</v>
      </c>
      <c r="F218" s="235">
        <v>1</v>
      </c>
      <c r="G218" s="236">
        <v>1.55</v>
      </c>
      <c r="H218" s="236"/>
      <c r="I218" s="236">
        <v>3.25</v>
      </c>
      <c r="J218" s="235">
        <v>1</v>
      </c>
      <c r="K218" s="237"/>
      <c r="L218" s="237">
        <f t="shared" si="14"/>
        <v>5.0375000000000005</v>
      </c>
      <c r="M218" s="111"/>
      <c r="N218" s="111"/>
      <c r="O218" s="111"/>
      <c r="P218" s="111"/>
    </row>
    <row r="219" spans="3:16" x14ac:dyDescent="0.3">
      <c r="C219" s="114"/>
      <c r="D219" s="233" t="s">
        <v>605</v>
      </c>
      <c r="E219" s="234" t="s">
        <v>0</v>
      </c>
      <c r="F219" s="235">
        <v>1</v>
      </c>
      <c r="G219" s="236">
        <v>1.4</v>
      </c>
      <c r="H219" s="236"/>
      <c r="I219" s="236">
        <v>3.25</v>
      </c>
      <c r="J219" s="235">
        <v>1</v>
      </c>
      <c r="K219" s="237"/>
      <c r="L219" s="237">
        <f t="shared" si="14"/>
        <v>4.55</v>
      </c>
      <c r="M219" s="111"/>
      <c r="N219" s="111"/>
      <c r="O219" s="111"/>
      <c r="P219" s="111"/>
    </row>
    <row r="220" spans="3:16" x14ac:dyDescent="0.3">
      <c r="C220" s="114"/>
      <c r="D220" s="233" t="s">
        <v>606</v>
      </c>
      <c r="E220" s="234" t="s">
        <v>0</v>
      </c>
      <c r="F220" s="235">
        <v>1</v>
      </c>
      <c r="G220" s="236">
        <v>1.8</v>
      </c>
      <c r="H220" s="236"/>
      <c r="I220" s="236">
        <v>3.25</v>
      </c>
      <c r="J220" s="235">
        <v>1</v>
      </c>
      <c r="K220" s="237"/>
      <c r="L220" s="237">
        <f t="shared" si="14"/>
        <v>5.8500000000000005</v>
      </c>
      <c r="M220" s="111"/>
      <c r="N220" s="111"/>
      <c r="O220" s="111"/>
      <c r="P220" s="111"/>
    </row>
    <row r="221" spans="3:16" x14ac:dyDescent="0.3">
      <c r="C221" s="114"/>
      <c r="D221" s="233" t="s">
        <v>606</v>
      </c>
      <c r="E221" s="234" t="s">
        <v>0</v>
      </c>
      <c r="F221" s="235">
        <v>1</v>
      </c>
      <c r="G221" s="236">
        <v>1.4</v>
      </c>
      <c r="H221" s="236"/>
      <c r="I221" s="236">
        <v>3.25</v>
      </c>
      <c r="J221" s="235">
        <v>1</v>
      </c>
      <c r="K221" s="237"/>
      <c r="L221" s="237">
        <f t="shared" si="14"/>
        <v>4.55</v>
      </c>
      <c r="M221" s="111"/>
      <c r="N221" s="111"/>
      <c r="O221" s="111"/>
      <c r="P221" s="111"/>
    </row>
    <row r="222" spans="3:16" x14ac:dyDescent="0.3">
      <c r="C222" s="114"/>
      <c r="D222" s="233" t="s">
        <v>607</v>
      </c>
      <c r="E222" s="234" t="s">
        <v>0</v>
      </c>
      <c r="F222" s="235">
        <v>1</v>
      </c>
      <c r="G222" s="236">
        <v>1.65</v>
      </c>
      <c r="H222" s="236"/>
      <c r="I222" s="236">
        <v>3.25</v>
      </c>
      <c r="J222" s="235">
        <v>1</v>
      </c>
      <c r="K222" s="237"/>
      <c r="L222" s="237">
        <f t="shared" si="14"/>
        <v>5.3624999999999998</v>
      </c>
      <c r="M222" s="111"/>
      <c r="N222" s="111"/>
      <c r="O222" s="111"/>
      <c r="P222" s="111"/>
    </row>
    <row r="223" spans="3:16" x14ac:dyDescent="0.3">
      <c r="C223" s="114"/>
      <c r="D223" s="233" t="s">
        <v>607</v>
      </c>
      <c r="E223" s="234" t="s">
        <v>0</v>
      </c>
      <c r="F223" s="235">
        <v>1</v>
      </c>
      <c r="G223" s="236">
        <v>1.4</v>
      </c>
      <c r="H223" s="236"/>
      <c r="I223" s="236">
        <v>3.25</v>
      </c>
      <c r="J223" s="235">
        <v>1</v>
      </c>
      <c r="K223" s="237"/>
      <c r="L223" s="237">
        <f t="shared" si="14"/>
        <v>4.55</v>
      </c>
      <c r="M223" s="111"/>
      <c r="N223" s="111"/>
      <c r="O223" s="111"/>
      <c r="P223" s="111"/>
    </row>
    <row r="224" spans="3:16" x14ac:dyDescent="0.3">
      <c r="C224" s="114"/>
      <c r="D224" s="233" t="s">
        <v>608</v>
      </c>
      <c r="E224" s="234" t="s">
        <v>0</v>
      </c>
      <c r="F224" s="235">
        <v>1</v>
      </c>
      <c r="G224" s="236">
        <f>2.85+0.85</f>
        <v>3.7</v>
      </c>
      <c r="H224" s="236"/>
      <c r="I224" s="236">
        <v>3.25</v>
      </c>
      <c r="J224" s="235">
        <v>1</v>
      </c>
      <c r="K224" s="237"/>
      <c r="L224" s="237">
        <f t="shared" si="14"/>
        <v>12.025</v>
      </c>
      <c r="M224" s="111"/>
      <c r="N224" s="111"/>
      <c r="O224" s="111"/>
      <c r="P224" s="111"/>
    </row>
    <row r="225" spans="3:16" x14ac:dyDescent="0.3">
      <c r="C225" s="114"/>
      <c r="D225" s="233" t="s">
        <v>609</v>
      </c>
      <c r="E225" s="234" t="s">
        <v>0</v>
      </c>
      <c r="F225" s="235">
        <v>1</v>
      </c>
      <c r="G225" s="236">
        <v>3.1</v>
      </c>
      <c r="H225" s="236"/>
      <c r="I225" s="236">
        <v>3.25</v>
      </c>
      <c r="J225" s="235">
        <v>1</v>
      </c>
      <c r="K225" s="237"/>
      <c r="L225" s="237">
        <f t="shared" si="14"/>
        <v>10.075000000000001</v>
      </c>
      <c r="M225" s="111"/>
      <c r="N225" s="111"/>
      <c r="O225" s="111"/>
      <c r="P225" s="111"/>
    </row>
    <row r="226" spans="3:16" x14ac:dyDescent="0.3">
      <c r="C226" s="114"/>
      <c r="D226" s="233" t="s">
        <v>610</v>
      </c>
      <c r="E226" s="234" t="s">
        <v>0</v>
      </c>
      <c r="F226" s="235">
        <v>1</v>
      </c>
      <c r="G226" s="236">
        <v>2.08</v>
      </c>
      <c r="H226" s="236"/>
      <c r="I226" s="236">
        <v>3.25</v>
      </c>
      <c r="J226" s="235">
        <v>1</v>
      </c>
      <c r="K226" s="237"/>
      <c r="L226" s="237">
        <f t="shared" si="14"/>
        <v>6.76</v>
      </c>
      <c r="M226" s="111"/>
      <c r="N226" s="111"/>
      <c r="O226" s="111"/>
      <c r="P226" s="111"/>
    </row>
    <row r="227" spans="3:16" x14ac:dyDescent="0.3">
      <c r="C227" s="114"/>
      <c r="D227" s="233" t="s">
        <v>611</v>
      </c>
      <c r="E227" s="234" t="s">
        <v>0</v>
      </c>
      <c r="F227" s="235">
        <v>1</v>
      </c>
      <c r="G227" s="236">
        <v>1.83</v>
      </c>
      <c r="H227" s="236"/>
      <c r="I227" s="236">
        <v>3.25</v>
      </c>
      <c r="J227" s="235">
        <v>1</v>
      </c>
      <c r="K227" s="237"/>
      <c r="L227" s="237">
        <f t="shared" si="14"/>
        <v>5.9474999999999998</v>
      </c>
      <c r="M227" s="111"/>
      <c r="N227" s="111"/>
      <c r="O227" s="111"/>
      <c r="P227" s="111"/>
    </row>
    <row r="228" spans="3:16" x14ac:dyDescent="0.3">
      <c r="C228" s="114"/>
      <c r="D228" s="233" t="s">
        <v>612</v>
      </c>
      <c r="E228" s="234" t="s">
        <v>0</v>
      </c>
      <c r="F228" s="235">
        <v>1</v>
      </c>
      <c r="G228" s="236">
        <v>2.08</v>
      </c>
      <c r="H228" s="236"/>
      <c r="I228" s="236">
        <v>3.25</v>
      </c>
      <c r="J228" s="235">
        <v>1</v>
      </c>
      <c r="K228" s="237"/>
      <c r="L228" s="237">
        <f t="shared" si="14"/>
        <v>6.76</v>
      </c>
      <c r="M228" s="111"/>
      <c r="N228" s="111"/>
      <c r="O228" s="111"/>
      <c r="P228" s="111"/>
    </row>
    <row r="229" spans="3:16" x14ac:dyDescent="0.3">
      <c r="C229" s="114"/>
      <c r="D229" s="233" t="s">
        <v>613</v>
      </c>
      <c r="E229" s="234" t="s">
        <v>0</v>
      </c>
      <c r="F229" s="235">
        <v>1</v>
      </c>
      <c r="G229" s="236">
        <v>1.83</v>
      </c>
      <c r="H229" s="236"/>
      <c r="I229" s="236">
        <v>3.25</v>
      </c>
      <c r="J229" s="235">
        <v>1</v>
      </c>
      <c r="K229" s="237"/>
      <c r="L229" s="237">
        <f t="shared" si="14"/>
        <v>5.9474999999999998</v>
      </c>
      <c r="M229" s="111"/>
      <c r="N229" s="111"/>
      <c r="O229" s="111"/>
      <c r="P229" s="111"/>
    </row>
    <row r="230" spans="3:16" x14ac:dyDescent="0.3">
      <c r="C230" s="114"/>
      <c r="D230" s="233" t="s">
        <v>614</v>
      </c>
      <c r="E230" s="234" t="s">
        <v>0</v>
      </c>
      <c r="F230" s="235">
        <v>1</v>
      </c>
      <c r="G230" s="236">
        <v>2.08</v>
      </c>
      <c r="H230" s="236"/>
      <c r="I230" s="236">
        <v>3.25</v>
      </c>
      <c r="J230" s="235">
        <v>1</v>
      </c>
      <c r="K230" s="237"/>
      <c r="L230" s="237">
        <f t="shared" si="14"/>
        <v>6.76</v>
      </c>
      <c r="M230" s="111"/>
      <c r="N230" s="111"/>
      <c r="O230" s="111"/>
      <c r="P230" s="111"/>
    </row>
    <row r="231" spans="3:16" x14ac:dyDescent="0.3">
      <c r="C231" s="114"/>
      <c r="D231" s="233" t="s">
        <v>615</v>
      </c>
      <c r="E231" s="234" t="s">
        <v>0</v>
      </c>
      <c r="F231" s="235">
        <v>1</v>
      </c>
      <c r="G231" s="236">
        <v>1.93</v>
      </c>
      <c r="H231" s="236"/>
      <c r="I231" s="236">
        <v>3.25</v>
      </c>
      <c r="J231" s="235">
        <v>1</v>
      </c>
      <c r="K231" s="237"/>
      <c r="L231" s="237">
        <f t="shared" si="14"/>
        <v>6.2725</v>
      </c>
      <c r="M231" s="111"/>
      <c r="N231" s="111"/>
      <c r="O231" s="111"/>
      <c r="P231" s="111"/>
    </row>
    <row r="232" spans="3:16" x14ac:dyDescent="0.3">
      <c r="C232" s="114"/>
      <c r="D232" s="233" t="s">
        <v>616</v>
      </c>
      <c r="E232" s="234" t="s">
        <v>0</v>
      </c>
      <c r="F232" s="235">
        <v>1</v>
      </c>
      <c r="G232" s="236">
        <v>3.1</v>
      </c>
      <c r="H232" s="236"/>
      <c r="I232" s="236">
        <v>3.25</v>
      </c>
      <c r="J232" s="235">
        <v>1</v>
      </c>
      <c r="K232" s="237"/>
      <c r="L232" s="237">
        <f t="shared" si="14"/>
        <v>10.075000000000001</v>
      </c>
      <c r="M232" s="111"/>
      <c r="N232" s="111"/>
      <c r="O232" s="111"/>
      <c r="P232" s="111"/>
    </row>
    <row r="233" spans="3:16" x14ac:dyDescent="0.3">
      <c r="C233" s="114"/>
      <c r="D233" s="265"/>
      <c r="E233" s="116"/>
      <c r="F233" s="109"/>
      <c r="G233" s="110"/>
      <c r="H233" s="110"/>
      <c r="I233" s="110"/>
      <c r="J233" s="109"/>
      <c r="K233" s="111"/>
      <c r="L233" s="111"/>
      <c r="M233" s="111"/>
      <c r="N233" s="111"/>
      <c r="O233" s="111"/>
      <c r="P233" s="111"/>
    </row>
    <row r="234" spans="3:16" x14ac:dyDescent="0.3">
      <c r="C234" s="99" t="s">
        <v>1183</v>
      </c>
      <c r="D234" s="226" t="s">
        <v>519</v>
      </c>
      <c r="E234" s="101" t="s">
        <v>0</v>
      </c>
      <c r="F234" s="1"/>
      <c r="G234" s="2"/>
      <c r="H234" s="2"/>
      <c r="I234" s="2"/>
      <c r="J234" s="3"/>
      <c r="K234" s="103"/>
      <c r="L234" s="103" t="str">
        <f>IF(F234="","",PRODUCT(F234:J234))</f>
        <v/>
      </c>
      <c r="M234" s="103"/>
      <c r="N234" s="103"/>
      <c r="O234" s="103"/>
      <c r="P234" s="103">
        <f>SUM(L234:L378)</f>
        <v>213.83150000000009</v>
      </c>
    </row>
    <row r="235" spans="3:16" x14ac:dyDescent="0.3">
      <c r="C235" s="106"/>
      <c r="D235" s="115" t="s">
        <v>123</v>
      </c>
      <c r="E235" s="121"/>
      <c r="F235" s="3"/>
      <c r="G235" s="122"/>
      <c r="H235" s="122"/>
      <c r="I235" s="122"/>
      <c r="J235" s="3"/>
      <c r="K235" s="113"/>
      <c r="L235" s="113"/>
      <c r="M235" s="113"/>
      <c r="N235" s="113"/>
      <c r="O235" s="113"/>
      <c r="P235" s="113"/>
    </row>
    <row r="236" spans="3:16" x14ac:dyDescent="0.3">
      <c r="C236" s="114"/>
      <c r="D236" s="233" t="s">
        <v>573</v>
      </c>
      <c r="E236" s="234" t="s">
        <v>0</v>
      </c>
      <c r="F236" s="235">
        <v>1</v>
      </c>
      <c r="G236" s="236">
        <v>3.38</v>
      </c>
      <c r="H236" s="236">
        <v>0.2</v>
      </c>
      <c r="I236" s="236">
        <v>0</v>
      </c>
      <c r="J236" s="235">
        <v>1</v>
      </c>
      <c r="K236" s="237"/>
      <c r="L236" s="237">
        <f t="shared" ref="L236:L248" si="15">((I236)+H236)*F236*G236*J236</f>
        <v>0.67600000000000005</v>
      </c>
      <c r="M236" s="111"/>
      <c r="N236" s="111"/>
      <c r="O236" s="111"/>
      <c r="P236" s="111"/>
    </row>
    <row r="237" spans="3:16" x14ac:dyDescent="0.3">
      <c r="C237" s="114"/>
      <c r="D237" s="233" t="s">
        <v>574</v>
      </c>
      <c r="E237" s="234" t="s">
        <v>0</v>
      </c>
      <c r="F237" s="235">
        <v>1</v>
      </c>
      <c r="G237" s="236">
        <v>3.4</v>
      </c>
      <c r="H237" s="236">
        <v>0.2</v>
      </c>
      <c r="I237" s="236">
        <v>0</v>
      </c>
      <c r="J237" s="235">
        <v>1</v>
      </c>
      <c r="K237" s="237"/>
      <c r="L237" s="237">
        <f t="shared" si="15"/>
        <v>0.68</v>
      </c>
      <c r="M237" s="111"/>
      <c r="N237" s="111"/>
      <c r="O237" s="111"/>
      <c r="P237" s="111"/>
    </row>
    <row r="238" spans="3:16" x14ac:dyDescent="0.3">
      <c r="C238" s="114"/>
      <c r="D238" s="233" t="s">
        <v>575</v>
      </c>
      <c r="E238" s="234" t="s">
        <v>0</v>
      </c>
      <c r="F238" s="235">
        <v>1</v>
      </c>
      <c r="G238" s="236">
        <v>3.4</v>
      </c>
      <c r="H238" s="236">
        <v>0.2</v>
      </c>
      <c r="I238" s="236"/>
      <c r="J238" s="235">
        <v>1</v>
      </c>
      <c r="K238" s="237"/>
      <c r="L238" s="237">
        <f t="shared" si="15"/>
        <v>0.68</v>
      </c>
      <c r="M238" s="111"/>
      <c r="N238" s="111"/>
      <c r="O238" s="111"/>
      <c r="P238" s="111"/>
    </row>
    <row r="239" spans="3:16" x14ac:dyDescent="0.3">
      <c r="C239" s="114"/>
      <c r="D239" s="233" t="s">
        <v>621</v>
      </c>
      <c r="E239" s="234" t="s">
        <v>0</v>
      </c>
      <c r="F239" s="235">
        <v>1</v>
      </c>
      <c r="G239" s="236">
        <v>3.4</v>
      </c>
      <c r="H239" s="236">
        <v>0.2</v>
      </c>
      <c r="I239" s="236"/>
      <c r="J239" s="235">
        <v>1</v>
      </c>
      <c r="K239" s="237"/>
      <c r="L239" s="237">
        <f t="shared" si="15"/>
        <v>0.68</v>
      </c>
      <c r="M239" s="111"/>
      <c r="N239" s="111"/>
      <c r="O239" s="111"/>
      <c r="P239" s="111"/>
    </row>
    <row r="240" spans="3:16" x14ac:dyDescent="0.3">
      <c r="C240" s="114"/>
      <c r="D240" s="233" t="s">
        <v>576</v>
      </c>
      <c r="E240" s="234" t="s">
        <v>0</v>
      </c>
      <c r="F240" s="235">
        <v>1</v>
      </c>
      <c r="G240" s="236">
        <v>3.4</v>
      </c>
      <c r="H240" s="236">
        <v>0.2</v>
      </c>
      <c r="I240" s="236"/>
      <c r="J240" s="235">
        <v>1</v>
      </c>
      <c r="K240" s="237"/>
      <c r="L240" s="237">
        <f t="shared" si="15"/>
        <v>0.68</v>
      </c>
      <c r="M240" s="111"/>
      <c r="N240" s="111"/>
      <c r="O240" s="111"/>
      <c r="P240" s="111"/>
    </row>
    <row r="241" spans="3:16" x14ac:dyDescent="0.3">
      <c r="C241" s="114"/>
      <c r="D241" s="233" t="s">
        <v>622</v>
      </c>
      <c r="E241" s="234" t="s">
        <v>0</v>
      </c>
      <c r="F241" s="235">
        <v>1</v>
      </c>
      <c r="G241" s="236">
        <v>3.4</v>
      </c>
      <c r="H241" s="236">
        <v>0.2</v>
      </c>
      <c r="I241" s="236"/>
      <c r="J241" s="235">
        <v>1</v>
      </c>
      <c r="K241" s="237"/>
      <c r="L241" s="237">
        <f t="shared" si="15"/>
        <v>0.68</v>
      </c>
      <c r="M241" s="111"/>
      <c r="N241" s="111"/>
      <c r="O241" s="111"/>
      <c r="P241" s="111"/>
    </row>
    <row r="242" spans="3:16" x14ac:dyDescent="0.3">
      <c r="C242" s="114"/>
      <c r="D242" s="233" t="s">
        <v>577</v>
      </c>
      <c r="E242" s="234" t="s">
        <v>0</v>
      </c>
      <c r="F242" s="235">
        <v>1</v>
      </c>
      <c r="G242" s="236">
        <v>3.37</v>
      </c>
      <c r="H242" s="236">
        <v>0.2</v>
      </c>
      <c r="I242" s="236"/>
      <c r="J242" s="235">
        <v>1</v>
      </c>
      <c r="K242" s="237"/>
      <c r="L242" s="237">
        <f t="shared" si="15"/>
        <v>0.67400000000000004</v>
      </c>
      <c r="M242" s="111"/>
      <c r="N242" s="111"/>
      <c r="O242" s="111"/>
      <c r="P242" s="111"/>
    </row>
    <row r="243" spans="3:16" x14ac:dyDescent="0.3">
      <c r="C243" s="114"/>
      <c r="D243" s="233" t="s">
        <v>561</v>
      </c>
      <c r="E243" s="234" t="s">
        <v>0</v>
      </c>
      <c r="F243" s="235">
        <v>1</v>
      </c>
      <c r="G243" s="236">
        <v>8.9</v>
      </c>
      <c r="H243" s="236">
        <v>0.15</v>
      </c>
      <c r="I243" s="236">
        <f>0.7+0.7</f>
        <v>1.4</v>
      </c>
      <c r="J243" s="235">
        <v>1</v>
      </c>
      <c r="K243" s="237"/>
      <c r="L243" s="237">
        <f t="shared" si="15"/>
        <v>13.794999999999998</v>
      </c>
      <c r="M243" s="111"/>
      <c r="N243" s="111"/>
      <c r="O243" s="111"/>
      <c r="P243" s="111"/>
    </row>
    <row r="244" spans="3:16" x14ac:dyDescent="0.3">
      <c r="C244" s="114"/>
      <c r="D244" s="233" t="s">
        <v>562</v>
      </c>
      <c r="E244" s="234" t="s">
        <v>0</v>
      </c>
      <c r="F244" s="235">
        <v>1</v>
      </c>
      <c r="G244" s="236">
        <v>8.9</v>
      </c>
      <c r="H244" s="236">
        <v>0.15</v>
      </c>
      <c r="I244" s="236">
        <f>0.7+0.3</f>
        <v>1</v>
      </c>
      <c r="J244" s="235">
        <v>1</v>
      </c>
      <c r="K244" s="237"/>
      <c r="L244" s="237">
        <f t="shared" si="15"/>
        <v>10.234999999999999</v>
      </c>
      <c r="M244" s="111"/>
      <c r="N244" s="111"/>
      <c r="O244" s="111"/>
      <c r="P244" s="111"/>
    </row>
    <row r="245" spans="3:16" x14ac:dyDescent="0.3">
      <c r="C245" s="114"/>
      <c r="D245" s="233" t="s">
        <v>623</v>
      </c>
      <c r="E245" s="234" t="s">
        <v>0</v>
      </c>
      <c r="F245" s="235">
        <v>1</v>
      </c>
      <c r="G245" s="236">
        <v>8.9</v>
      </c>
      <c r="H245" s="236">
        <v>0.3</v>
      </c>
      <c r="I245" s="236">
        <f>0.2+0.2</f>
        <v>0.4</v>
      </c>
      <c r="J245" s="235">
        <v>1</v>
      </c>
      <c r="K245" s="237"/>
      <c r="L245" s="237">
        <f t="shared" si="15"/>
        <v>6.2299999999999995</v>
      </c>
      <c r="M245" s="111"/>
      <c r="N245" s="111"/>
      <c r="O245" s="111"/>
      <c r="P245" s="111"/>
    </row>
    <row r="246" spans="3:16" x14ac:dyDescent="0.3">
      <c r="C246" s="114"/>
      <c r="D246" s="233" t="s">
        <v>590</v>
      </c>
      <c r="E246" s="234" t="s">
        <v>0</v>
      </c>
      <c r="F246" s="235">
        <v>1</v>
      </c>
      <c r="G246" s="236">
        <v>8.9</v>
      </c>
      <c r="H246" s="236">
        <v>0.3</v>
      </c>
      <c r="I246" s="236">
        <f>0.2+0.2</f>
        <v>0.4</v>
      </c>
      <c r="J246" s="235">
        <v>1</v>
      </c>
      <c r="K246" s="237"/>
      <c r="L246" s="237">
        <f t="shared" si="15"/>
        <v>6.2299999999999995</v>
      </c>
      <c r="M246" s="111"/>
      <c r="N246" s="111"/>
      <c r="O246" s="111"/>
      <c r="P246" s="111"/>
    </row>
    <row r="247" spans="3:16" x14ac:dyDescent="0.3">
      <c r="C247" s="114"/>
      <c r="D247" s="233" t="s">
        <v>624</v>
      </c>
      <c r="E247" s="234" t="s">
        <v>0</v>
      </c>
      <c r="F247" s="235">
        <v>1</v>
      </c>
      <c r="G247" s="236">
        <v>8.9</v>
      </c>
      <c r="H247" s="236">
        <v>0.3</v>
      </c>
      <c r="I247" s="236">
        <f>0.2+0.2</f>
        <v>0.4</v>
      </c>
      <c r="J247" s="235">
        <v>1</v>
      </c>
      <c r="K247" s="237"/>
      <c r="L247" s="237">
        <f t="shared" si="15"/>
        <v>6.2299999999999995</v>
      </c>
      <c r="M247" s="111"/>
      <c r="N247" s="111"/>
      <c r="O247" s="111"/>
      <c r="P247" s="111"/>
    </row>
    <row r="248" spans="3:16" x14ac:dyDescent="0.3">
      <c r="C248" s="114"/>
      <c r="D248" s="233" t="s">
        <v>565</v>
      </c>
      <c r="E248" s="234" t="s">
        <v>0</v>
      </c>
      <c r="F248" s="235">
        <v>1</v>
      </c>
      <c r="G248" s="236">
        <v>3.5</v>
      </c>
      <c r="H248" s="236">
        <v>0.15</v>
      </c>
      <c r="I248" s="236">
        <f>0.35+0.2</f>
        <v>0.55000000000000004</v>
      </c>
      <c r="J248" s="235">
        <v>1</v>
      </c>
      <c r="K248" s="237"/>
      <c r="L248" s="237">
        <f t="shared" si="15"/>
        <v>2.4500000000000002</v>
      </c>
      <c r="M248" s="111"/>
      <c r="N248" s="111"/>
      <c r="O248" s="111"/>
      <c r="P248" s="111"/>
    </row>
    <row r="249" spans="3:16" x14ac:dyDescent="0.3">
      <c r="C249" s="114"/>
      <c r="D249" s="233" t="s">
        <v>578</v>
      </c>
      <c r="E249" s="234" t="s">
        <v>0</v>
      </c>
      <c r="F249" s="235">
        <v>1</v>
      </c>
      <c r="G249" s="236">
        <v>3.6</v>
      </c>
      <c r="H249" s="236"/>
      <c r="I249" s="236">
        <f>0.35</f>
        <v>0.35</v>
      </c>
      <c r="J249" s="235">
        <v>1</v>
      </c>
      <c r="K249" s="237"/>
      <c r="L249" s="237">
        <f>((I249)+H249)*F249*G249*J249</f>
        <v>1.26</v>
      </c>
      <c r="M249" s="111"/>
      <c r="N249" s="111"/>
      <c r="O249" s="111"/>
      <c r="P249" s="111"/>
    </row>
    <row r="250" spans="3:16" x14ac:dyDescent="0.3">
      <c r="C250" s="114"/>
      <c r="D250" s="233" t="s">
        <v>238</v>
      </c>
      <c r="E250" s="234" t="s">
        <v>0</v>
      </c>
      <c r="F250" s="235">
        <v>21</v>
      </c>
      <c r="G250" s="236">
        <v>0.8</v>
      </c>
      <c r="H250" s="236">
        <v>0.15</v>
      </c>
      <c r="I250" s="236">
        <v>0</v>
      </c>
      <c r="J250" s="235">
        <v>1</v>
      </c>
      <c r="K250" s="237"/>
      <c r="L250" s="237">
        <f t="shared" ref="L250:L251" si="16">((I250)+H250)*F250*G250*J250</f>
        <v>2.52</v>
      </c>
      <c r="M250" s="111"/>
      <c r="N250" s="111"/>
      <c r="O250" s="111"/>
      <c r="P250" s="111"/>
    </row>
    <row r="251" spans="3:16" x14ac:dyDescent="0.3">
      <c r="C251" s="114"/>
      <c r="D251" s="233" t="s">
        <v>239</v>
      </c>
      <c r="E251" s="234" t="s">
        <v>0</v>
      </c>
      <c r="F251" s="235">
        <v>21</v>
      </c>
      <c r="G251" s="236">
        <v>0.5</v>
      </c>
      <c r="H251" s="236">
        <v>0.1</v>
      </c>
      <c r="I251" s="236">
        <v>0</v>
      </c>
      <c r="J251" s="235">
        <v>1</v>
      </c>
      <c r="K251" s="237"/>
      <c r="L251" s="237">
        <f t="shared" si="16"/>
        <v>1.05</v>
      </c>
      <c r="M251" s="111"/>
      <c r="N251" s="111"/>
      <c r="O251" s="111"/>
      <c r="P251" s="111"/>
    </row>
    <row r="252" spans="3:16" x14ac:dyDescent="0.3">
      <c r="C252" s="106"/>
      <c r="D252" s="115" t="s">
        <v>127</v>
      </c>
      <c r="E252" s="121"/>
      <c r="F252" s="3"/>
      <c r="G252" s="122"/>
      <c r="H252" s="122"/>
      <c r="I252" s="122" t="s">
        <v>625</v>
      </c>
      <c r="J252" s="3"/>
      <c r="K252" s="113"/>
      <c r="L252" s="113"/>
      <c r="M252" s="113"/>
      <c r="N252" s="113"/>
      <c r="O252" s="113"/>
      <c r="P252" s="113"/>
    </row>
    <row r="253" spans="3:16" x14ac:dyDescent="0.3">
      <c r="C253" s="114"/>
      <c r="D253" s="233" t="s">
        <v>626</v>
      </c>
      <c r="E253" s="234" t="s">
        <v>0</v>
      </c>
      <c r="F253" s="235">
        <v>1</v>
      </c>
      <c r="G253" s="236">
        <v>2.15</v>
      </c>
      <c r="H253" s="236">
        <v>0.35</v>
      </c>
      <c r="I253" s="236"/>
      <c r="J253" s="235">
        <v>1</v>
      </c>
      <c r="K253" s="237"/>
      <c r="L253" s="237">
        <f>((I253)+H253)*F253*G253*J253</f>
        <v>0.75249999999999995</v>
      </c>
      <c r="M253" s="111"/>
      <c r="N253" s="111"/>
      <c r="O253" s="111"/>
      <c r="P253" s="111"/>
    </row>
    <row r="254" spans="3:16" x14ac:dyDescent="0.3">
      <c r="C254" s="114"/>
      <c r="D254" s="233" t="s">
        <v>627</v>
      </c>
      <c r="E254" s="234" t="s">
        <v>0</v>
      </c>
      <c r="F254" s="235">
        <v>1</v>
      </c>
      <c r="G254" s="236">
        <v>2.15</v>
      </c>
      <c r="H254" s="236">
        <v>0.35</v>
      </c>
      <c r="I254" s="236"/>
      <c r="J254" s="235">
        <v>1</v>
      </c>
      <c r="K254" s="237"/>
      <c r="L254" s="237">
        <f t="shared" ref="L254:L266" si="17">((I254)+H254)*F254*G254*J254</f>
        <v>0.75249999999999995</v>
      </c>
      <c r="M254" s="111"/>
      <c r="N254" s="111"/>
      <c r="O254" s="111"/>
      <c r="P254" s="111"/>
    </row>
    <row r="255" spans="3:16" x14ac:dyDescent="0.3">
      <c r="C255" s="114"/>
      <c r="D255" s="233" t="s">
        <v>628</v>
      </c>
      <c r="E255" s="234" t="s">
        <v>0</v>
      </c>
      <c r="F255" s="235">
        <v>1</v>
      </c>
      <c r="G255" s="236">
        <v>2.15</v>
      </c>
      <c r="H255" s="236">
        <v>0.35</v>
      </c>
      <c r="I255" s="236"/>
      <c r="J255" s="235">
        <v>1</v>
      </c>
      <c r="K255" s="237"/>
      <c r="L255" s="237">
        <f t="shared" si="17"/>
        <v>0.75249999999999995</v>
      </c>
      <c r="M255" s="111"/>
      <c r="N255" s="111"/>
      <c r="O255" s="111"/>
      <c r="P255" s="111"/>
    </row>
    <row r="256" spans="3:16" x14ac:dyDescent="0.3">
      <c r="C256" s="114"/>
      <c r="D256" s="233" t="s">
        <v>629</v>
      </c>
      <c r="E256" s="234" t="s">
        <v>0</v>
      </c>
      <c r="F256" s="235">
        <v>1</v>
      </c>
      <c r="G256" s="236">
        <v>2.15</v>
      </c>
      <c r="H256" s="236">
        <v>0.35</v>
      </c>
      <c r="I256" s="236"/>
      <c r="J256" s="235">
        <v>1</v>
      </c>
      <c r="K256" s="237"/>
      <c r="L256" s="237">
        <f t="shared" si="17"/>
        <v>0.75249999999999995</v>
      </c>
      <c r="M256" s="111"/>
      <c r="N256" s="111"/>
      <c r="O256" s="111"/>
      <c r="P256" s="111"/>
    </row>
    <row r="257" spans="3:16" x14ac:dyDescent="0.3">
      <c r="C257" s="114"/>
      <c r="D257" s="233" t="s">
        <v>630</v>
      </c>
      <c r="E257" s="234" t="s">
        <v>0</v>
      </c>
      <c r="F257" s="235">
        <v>1</v>
      </c>
      <c r="G257" s="236">
        <v>2.15</v>
      </c>
      <c r="H257" s="236">
        <v>0.35</v>
      </c>
      <c r="I257" s="236"/>
      <c r="J257" s="235">
        <v>1</v>
      </c>
      <c r="K257" s="237"/>
      <c r="L257" s="237">
        <f t="shared" si="17"/>
        <v>0.75249999999999995</v>
      </c>
      <c r="M257" s="111"/>
      <c r="N257" s="111"/>
      <c r="O257" s="111"/>
      <c r="P257" s="111"/>
    </row>
    <row r="258" spans="3:16" x14ac:dyDescent="0.3">
      <c r="C258" s="114"/>
      <c r="D258" s="233" t="s">
        <v>631</v>
      </c>
      <c r="E258" s="234" t="s">
        <v>0</v>
      </c>
      <c r="F258" s="235">
        <v>1</v>
      </c>
      <c r="G258" s="236">
        <v>2.15</v>
      </c>
      <c r="H258" s="236">
        <v>0.35</v>
      </c>
      <c r="I258" s="236"/>
      <c r="J258" s="235">
        <v>1</v>
      </c>
      <c r="K258" s="237"/>
      <c r="L258" s="237">
        <f t="shared" si="17"/>
        <v>0.75249999999999995</v>
      </c>
      <c r="M258" s="111"/>
      <c r="N258" s="111"/>
      <c r="O258" s="111"/>
      <c r="P258" s="111"/>
    </row>
    <row r="259" spans="3:16" x14ac:dyDescent="0.3">
      <c r="C259" s="114"/>
      <c r="D259" s="233" t="s">
        <v>632</v>
      </c>
      <c r="E259" s="234" t="s">
        <v>0</v>
      </c>
      <c r="F259" s="235">
        <v>1</v>
      </c>
      <c r="G259" s="236">
        <v>2.15</v>
      </c>
      <c r="H259" s="236">
        <v>0.35</v>
      </c>
      <c r="I259" s="236"/>
      <c r="J259" s="235">
        <v>1</v>
      </c>
      <c r="K259" s="237"/>
      <c r="L259" s="237">
        <f t="shared" si="17"/>
        <v>0.75249999999999995</v>
      </c>
      <c r="M259" s="111"/>
      <c r="N259" s="111"/>
      <c r="O259" s="111"/>
      <c r="P259" s="111"/>
    </row>
    <row r="260" spans="3:16" x14ac:dyDescent="0.3">
      <c r="C260" s="114"/>
      <c r="D260" s="233" t="s">
        <v>633</v>
      </c>
      <c r="E260" s="234" t="s">
        <v>0</v>
      </c>
      <c r="F260" s="235">
        <v>1</v>
      </c>
      <c r="G260" s="236">
        <v>2.15</v>
      </c>
      <c r="H260" s="236">
        <v>0.35</v>
      </c>
      <c r="I260" s="236"/>
      <c r="J260" s="235">
        <v>1</v>
      </c>
      <c r="K260" s="237"/>
      <c r="L260" s="237">
        <f t="shared" si="17"/>
        <v>0.75249999999999995</v>
      </c>
      <c r="M260" s="111"/>
      <c r="N260" s="111"/>
      <c r="O260" s="111"/>
      <c r="P260" s="111"/>
    </row>
    <row r="261" spans="3:16" x14ac:dyDescent="0.3">
      <c r="C261" s="114"/>
      <c r="D261" s="233" t="s">
        <v>634</v>
      </c>
      <c r="E261" s="234" t="s">
        <v>0</v>
      </c>
      <c r="F261" s="235">
        <v>1</v>
      </c>
      <c r="G261" s="236">
        <v>2.15</v>
      </c>
      <c r="H261" s="236">
        <v>0.35</v>
      </c>
      <c r="I261" s="236"/>
      <c r="J261" s="235">
        <v>1</v>
      </c>
      <c r="K261" s="237"/>
      <c r="L261" s="237">
        <f t="shared" si="17"/>
        <v>0.75249999999999995</v>
      </c>
      <c r="M261" s="111"/>
      <c r="N261" s="111"/>
      <c r="O261" s="111"/>
      <c r="P261" s="111"/>
    </row>
    <row r="262" spans="3:16" x14ac:dyDescent="0.3">
      <c r="C262" s="114"/>
      <c r="D262" s="233" t="s">
        <v>635</v>
      </c>
      <c r="E262" s="234" t="s">
        <v>0</v>
      </c>
      <c r="F262" s="235">
        <v>1</v>
      </c>
      <c r="G262" s="236">
        <v>2.15</v>
      </c>
      <c r="H262" s="236">
        <v>0.35</v>
      </c>
      <c r="I262" s="236"/>
      <c r="J262" s="235">
        <v>1</v>
      </c>
      <c r="K262" s="237"/>
      <c r="L262" s="237">
        <f t="shared" si="17"/>
        <v>0.75249999999999995</v>
      </c>
      <c r="M262" s="111"/>
      <c r="N262" s="111"/>
      <c r="O262" s="111"/>
      <c r="P262" s="111"/>
    </row>
    <row r="263" spans="3:16" x14ac:dyDescent="0.3">
      <c r="C263" s="114"/>
      <c r="D263" s="233" t="s">
        <v>636</v>
      </c>
      <c r="E263" s="234" t="s">
        <v>0</v>
      </c>
      <c r="F263" s="235">
        <v>1</v>
      </c>
      <c r="G263" s="236">
        <v>2.15</v>
      </c>
      <c r="H263" s="236">
        <v>0.35</v>
      </c>
      <c r="I263" s="236"/>
      <c r="J263" s="235">
        <v>1</v>
      </c>
      <c r="K263" s="237"/>
      <c r="L263" s="237">
        <f t="shared" si="17"/>
        <v>0.75249999999999995</v>
      </c>
      <c r="M263" s="111"/>
      <c r="N263" s="111"/>
      <c r="O263" s="111"/>
      <c r="P263" s="111"/>
    </row>
    <row r="264" spans="3:16" x14ac:dyDescent="0.3">
      <c r="C264" s="114"/>
      <c r="D264" s="233" t="s">
        <v>637</v>
      </c>
      <c r="E264" s="234" t="s">
        <v>0</v>
      </c>
      <c r="F264" s="235">
        <v>1</v>
      </c>
      <c r="G264" s="236">
        <v>2.15</v>
      </c>
      <c r="H264" s="236">
        <v>0.35</v>
      </c>
      <c r="I264" s="236"/>
      <c r="J264" s="235">
        <v>1</v>
      </c>
      <c r="K264" s="237"/>
      <c r="L264" s="237">
        <f t="shared" si="17"/>
        <v>0.75249999999999995</v>
      </c>
      <c r="M264" s="111"/>
      <c r="N264" s="111"/>
      <c r="O264" s="111"/>
      <c r="P264" s="111"/>
    </row>
    <row r="265" spans="3:16" x14ac:dyDescent="0.3">
      <c r="C265" s="114"/>
      <c r="D265" s="233" t="s">
        <v>638</v>
      </c>
      <c r="E265" s="234" t="s">
        <v>0</v>
      </c>
      <c r="F265" s="235">
        <v>1</v>
      </c>
      <c r="G265" s="236">
        <v>2.15</v>
      </c>
      <c r="H265" s="236">
        <v>0.35</v>
      </c>
      <c r="I265" s="236"/>
      <c r="J265" s="235">
        <v>1</v>
      </c>
      <c r="K265" s="237"/>
      <c r="L265" s="237">
        <f t="shared" si="17"/>
        <v>0.75249999999999995</v>
      </c>
      <c r="M265" s="111"/>
      <c r="N265" s="111"/>
      <c r="O265" s="111"/>
      <c r="P265" s="111"/>
    </row>
    <row r="266" spans="3:16" x14ac:dyDescent="0.3">
      <c r="C266" s="114"/>
      <c r="D266" s="233" t="s">
        <v>639</v>
      </c>
      <c r="E266" s="234" t="s">
        <v>0</v>
      </c>
      <c r="F266" s="235">
        <v>1</v>
      </c>
      <c r="G266" s="236">
        <v>2.15</v>
      </c>
      <c r="H266" s="236">
        <v>0.35</v>
      </c>
      <c r="I266" s="236"/>
      <c r="J266" s="235">
        <v>1</v>
      </c>
      <c r="K266" s="237"/>
      <c r="L266" s="237">
        <f t="shared" si="17"/>
        <v>0.75249999999999995</v>
      </c>
      <c r="M266" s="111"/>
      <c r="N266" s="111"/>
      <c r="O266" s="111"/>
      <c r="P266" s="111"/>
    </row>
    <row r="267" spans="3:16" x14ac:dyDescent="0.3">
      <c r="C267" s="114"/>
      <c r="D267" s="233" t="s">
        <v>580</v>
      </c>
      <c r="E267" s="234" t="s">
        <v>0</v>
      </c>
      <c r="F267" s="235">
        <v>1</v>
      </c>
      <c r="G267" s="236">
        <v>3.38</v>
      </c>
      <c r="H267" s="236">
        <f>0.05*2</f>
        <v>0.1</v>
      </c>
      <c r="I267" s="236">
        <v>0.3</v>
      </c>
      <c r="J267" s="235">
        <v>1</v>
      </c>
      <c r="K267" s="237"/>
      <c r="L267" s="237">
        <f>((I267)+H267)*F267*G267*J267</f>
        <v>1.3520000000000001</v>
      </c>
      <c r="M267" s="111"/>
      <c r="N267" s="111"/>
      <c r="O267" s="111"/>
      <c r="P267" s="111"/>
    </row>
    <row r="268" spans="3:16" x14ac:dyDescent="0.3">
      <c r="C268" s="114"/>
      <c r="D268" s="233" t="s">
        <v>581</v>
      </c>
      <c r="E268" s="234" t="s">
        <v>0</v>
      </c>
      <c r="F268" s="235">
        <v>1</v>
      </c>
      <c r="G268" s="236">
        <v>3.4</v>
      </c>
      <c r="H268" s="236">
        <f t="shared" ref="H268:H273" si="18">0.05*2</f>
        <v>0.1</v>
      </c>
      <c r="I268" s="236">
        <v>0.3</v>
      </c>
      <c r="J268" s="235">
        <v>1</v>
      </c>
      <c r="K268" s="237"/>
      <c r="L268" s="237">
        <f t="shared" ref="L268:L285" si="19">((I268)+H268)*F268*G268*J268</f>
        <v>1.36</v>
      </c>
      <c r="M268" s="111"/>
      <c r="N268" s="111"/>
      <c r="O268" s="111"/>
      <c r="P268" s="111"/>
    </row>
    <row r="269" spans="3:16" x14ac:dyDescent="0.3">
      <c r="C269" s="114"/>
      <c r="D269" s="233" t="s">
        <v>582</v>
      </c>
      <c r="E269" s="234" t="s">
        <v>0</v>
      </c>
      <c r="F269" s="235">
        <v>1</v>
      </c>
      <c r="G269" s="236">
        <v>3.4</v>
      </c>
      <c r="H269" s="236">
        <f t="shared" si="18"/>
        <v>0.1</v>
      </c>
      <c r="I269" s="236">
        <v>0.3</v>
      </c>
      <c r="J269" s="235">
        <v>1</v>
      </c>
      <c r="K269" s="237"/>
      <c r="L269" s="237">
        <f t="shared" si="19"/>
        <v>1.36</v>
      </c>
      <c r="M269" s="111"/>
      <c r="N269" s="111"/>
      <c r="O269" s="111"/>
      <c r="P269" s="111"/>
    </row>
    <row r="270" spans="3:16" x14ac:dyDescent="0.3">
      <c r="C270" s="114"/>
      <c r="D270" s="233" t="s">
        <v>589</v>
      </c>
      <c r="E270" s="234" t="s">
        <v>0</v>
      </c>
      <c r="F270" s="235">
        <v>1</v>
      </c>
      <c r="G270" s="236">
        <v>3.4</v>
      </c>
      <c r="H270" s="236">
        <f t="shared" si="18"/>
        <v>0.1</v>
      </c>
      <c r="I270" s="236">
        <v>0.3</v>
      </c>
      <c r="J270" s="235">
        <v>1</v>
      </c>
      <c r="K270" s="237"/>
      <c r="L270" s="237">
        <f t="shared" si="19"/>
        <v>1.36</v>
      </c>
      <c r="M270" s="111"/>
      <c r="N270" s="111"/>
      <c r="O270" s="111"/>
      <c r="P270" s="111"/>
    </row>
    <row r="271" spans="3:16" x14ac:dyDescent="0.3">
      <c r="C271" s="114"/>
      <c r="D271" s="233" t="s">
        <v>585</v>
      </c>
      <c r="E271" s="234" t="s">
        <v>0</v>
      </c>
      <c r="F271" s="235">
        <v>1</v>
      </c>
      <c r="G271" s="236">
        <v>3.4</v>
      </c>
      <c r="H271" s="236">
        <f t="shared" si="18"/>
        <v>0.1</v>
      </c>
      <c r="I271" s="236">
        <v>0.3</v>
      </c>
      <c r="J271" s="235">
        <v>1</v>
      </c>
      <c r="K271" s="237"/>
      <c r="L271" s="237">
        <f t="shared" si="19"/>
        <v>1.36</v>
      </c>
      <c r="M271" s="111"/>
      <c r="N271" s="111"/>
      <c r="O271" s="111"/>
      <c r="P271" s="111"/>
    </row>
    <row r="272" spans="3:16" x14ac:dyDescent="0.3">
      <c r="C272" s="114"/>
      <c r="D272" s="233" t="s">
        <v>586</v>
      </c>
      <c r="E272" s="234" t="s">
        <v>0</v>
      </c>
      <c r="F272" s="235">
        <v>1</v>
      </c>
      <c r="G272" s="236">
        <v>3.4</v>
      </c>
      <c r="H272" s="236">
        <f t="shared" si="18"/>
        <v>0.1</v>
      </c>
      <c r="I272" s="236">
        <v>0.3</v>
      </c>
      <c r="J272" s="235">
        <v>1</v>
      </c>
      <c r="K272" s="237"/>
      <c r="L272" s="237">
        <f t="shared" si="19"/>
        <v>1.36</v>
      </c>
      <c r="M272" s="111"/>
      <c r="N272" s="111"/>
      <c r="O272" s="111"/>
      <c r="P272" s="111"/>
    </row>
    <row r="273" spans="3:16" x14ac:dyDescent="0.3">
      <c r="C273" s="114"/>
      <c r="D273" s="233" t="s">
        <v>591</v>
      </c>
      <c r="E273" s="234" t="s">
        <v>0</v>
      </c>
      <c r="F273" s="235">
        <v>1</v>
      </c>
      <c r="G273" s="236">
        <v>3.37</v>
      </c>
      <c r="H273" s="236">
        <f t="shared" si="18"/>
        <v>0.1</v>
      </c>
      <c r="I273" s="236">
        <v>0.3</v>
      </c>
      <c r="J273" s="235">
        <v>1</v>
      </c>
      <c r="K273" s="237"/>
      <c r="L273" s="237">
        <f t="shared" si="19"/>
        <v>1.3480000000000001</v>
      </c>
      <c r="M273" s="111"/>
      <c r="N273" s="111"/>
      <c r="O273" s="111"/>
      <c r="P273" s="111"/>
    </row>
    <row r="274" spans="3:16" x14ac:dyDescent="0.3">
      <c r="C274" s="114"/>
      <c r="D274" s="233" t="s">
        <v>577</v>
      </c>
      <c r="E274" s="234" t="s">
        <v>0</v>
      </c>
      <c r="F274" s="235">
        <v>1</v>
      </c>
      <c r="G274" s="236">
        <v>3.37</v>
      </c>
      <c r="H274" s="236">
        <v>0.45</v>
      </c>
      <c r="I274" s="236"/>
      <c r="J274" s="235">
        <v>1</v>
      </c>
      <c r="K274" s="237"/>
      <c r="L274" s="237">
        <f t="shared" si="19"/>
        <v>1.5165000000000002</v>
      </c>
      <c r="M274" s="111"/>
      <c r="N274" s="111"/>
      <c r="O274" s="111"/>
      <c r="P274" s="111"/>
    </row>
    <row r="275" spans="3:16" x14ac:dyDescent="0.3">
      <c r="C275" s="114"/>
      <c r="D275" s="233" t="s">
        <v>640</v>
      </c>
      <c r="E275" s="234" t="s">
        <v>0</v>
      </c>
      <c r="F275" s="235">
        <v>1</v>
      </c>
      <c r="G275" s="236">
        <v>1.8</v>
      </c>
      <c r="H275" s="236">
        <v>0.25</v>
      </c>
      <c r="I275" s="236"/>
      <c r="J275" s="235">
        <v>1</v>
      </c>
      <c r="K275" s="237"/>
      <c r="L275" s="237">
        <f t="shared" si="19"/>
        <v>0.45</v>
      </c>
      <c r="M275" s="111"/>
      <c r="N275" s="111"/>
      <c r="O275" s="111"/>
      <c r="P275" s="111"/>
    </row>
    <row r="276" spans="3:16" x14ac:dyDescent="0.3">
      <c r="C276" s="114"/>
      <c r="D276" s="233" t="s">
        <v>579</v>
      </c>
      <c r="E276" s="234" t="s">
        <v>0</v>
      </c>
      <c r="F276" s="235">
        <v>1</v>
      </c>
      <c r="G276" s="236">
        <v>4.8</v>
      </c>
      <c r="H276" s="236">
        <v>0</v>
      </c>
      <c r="I276" s="236">
        <v>0.6</v>
      </c>
      <c r="J276" s="235">
        <v>1</v>
      </c>
      <c r="K276" s="237"/>
      <c r="L276" s="237">
        <f t="shared" si="19"/>
        <v>2.88</v>
      </c>
      <c r="M276" s="111"/>
      <c r="N276" s="111"/>
      <c r="O276" s="111"/>
      <c r="P276" s="111"/>
    </row>
    <row r="277" spans="3:16" x14ac:dyDescent="0.3">
      <c r="C277" s="114"/>
      <c r="D277" s="233" t="s">
        <v>641</v>
      </c>
      <c r="E277" s="234" t="s">
        <v>0</v>
      </c>
      <c r="F277" s="235">
        <v>1</v>
      </c>
      <c r="G277" s="236">
        <v>1.8</v>
      </c>
      <c r="H277" s="236">
        <v>0.25</v>
      </c>
      <c r="I277" s="236"/>
      <c r="J277" s="235">
        <v>1</v>
      </c>
      <c r="K277" s="237"/>
      <c r="L277" s="237">
        <f t="shared" si="19"/>
        <v>0.45</v>
      </c>
      <c r="M277" s="111"/>
      <c r="N277" s="111"/>
      <c r="O277" s="111"/>
      <c r="P277" s="111"/>
    </row>
    <row r="278" spans="3:16" x14ac:dyDescent="0.3">
      <c r="C278" s="114"/>
      <c r="D278" s="233" t="s">
        <v>642</v>
      </c>
      <c r="E278" s="234" t="s">
        <v>0</v>
      </c>
      <c r="F278" s="235">
        <v>1</v>
      </c>
      <c r="G278" s="236">
        <v>1.8</v>
      </c>
      <c r="H278" s="236">
        <v>0.25</v>
      </c>
      <c r="I278" s="236"/>
      <c r="J278" s="235">
        <v>1</v>
      </c>
      <c r="K278" s="237"/>
      <c r="L278" s="237">
        <f t="shared" si="19"/>
        <v>0.45</v>
      </c>
      <c r="M278" s="111"/>
      <c r="N278" s="111"/>
      <c r="O278" s="111"/>
      <c r="P278" s="111"/>
    </row>
    <row r="279" spans="3:16" x14ac:dyDescent="0.3">
      <c r="C279" s="114"/>
      <c r="D279" s="233" t="s">
        <v>643</v>
      </c>
      <c r="E279" s="234" t="s">
        <v>0</v>
      </c>
      <c r="F279" s="235">
        <v>1</v>
      </c>
      <c r="G279" s="236">
        <v>1.8</v>
      </c>
      <c r="H279" s="236">
        <v>0.25</v>
      </c>
      <c r="I279" s="236"/>
      <c r="J279" s="235">
        <v>1</v>
      </c>
      <c r="K279" s="237"/>
      <c r="L279" s="237">
        <f t="shared" si="19"/>
        <v>0.45</v>
      </c>
      <c r="M279" s="111"/>
      <c r="N279" s="111"/>
      <c r="O279" s="111"/>
      <c r="P279" s="111"/>
    </row>
    <row r="280" spans="3:16" x14ac:dyDescent="0.3">
      <c r="C280" s="114"/>
      <c r="D280" s="233" t="s">
        <v>644</v>
      </c>
      <c r="E280" s="234" t="s">
        <v>0</v>
      </c>
      <c r="F280" s="235">
        <v>1</v>
      </c>
      <c r="G280" s="236">
        <v>1.8</v>
      </c>
      <c r="H280" s="236">
        <v>0.25</v>
      </c>
      <c r="I280" s="236"/>
      <c r="J280" s="235">
        <v>1</v>
      </c>
      <c r="K280" s="237"/>
      <c r="L280" s="237">
        <f t="shared" si="19"/>
        <v>0.45</v>
      </c>
      <c r="M280" s="111"/>
      <c r="N280" s="111"/>
      <c r="O280" s="111"/>
      <c r="P280" s="111"/>
    </row>
    <row r="281" spans="3:16" x14ac:dyDescent="0.3">
      <c r="C281" s="114"/>
      <c r="D281" s="233" t="s">
        <v>645</v>
      </c>
      <c r="E281" s="234" t="s">
        <v>0</v>
      </c>
      <c r="F281" s="235">
        <v>1</v>
      </c>
      <c r="G281" s="236">
        <v>1.8</v>
      </c>
      <c r="H281" s="236">
        <v>0.25</v>
      </c>
      <c r="I281" s="236"/>
      <c r="J281" s="235">
        <v>1</v>
      </c>
      <c r="K281" s="237"/>
      <c r="L281" s="237">
        <f t="shared" si="19"/>
        <v>0.45</v>
      </c>
      <c r="M281" s="111"/>
      <c r="N281" s="111"/>
      <c r="O281" s="111"/>
      <c r="P281" s="111"/>
    </row>
    <row r="282" spans="3:16" x14ac:dyDescent="0.3">
      <c r="C282" s="114"/>
      <c r="D282" s="233" t="s">
        <v>646</v>
      </c>
      <c r="E282" s="234" t="s">
        <v>0</v>
      </c>
      <c r="F282" s="235">
        <v>1</v>
      </c>
      <c r="G282" s="236">
        <v>1.8</v>
      </c>
      <c r="H282" s="236">
        <v>0.25</v>
      </c>
      <c r="I282" s="236"/>
      <c r="J282" s="235">
        <v>1</v>
      </c>
      <c r="K282" s="237"/>
      <c r="L282" s="237">
        <f t="shared" si="19"/>
        <v>0.45</v>
      </c>
      <c r="M282" s="111"/>
      <c r="N282" s="111"/>
      <c r="O282" s="111"/>
      <c r="P282" s="111"/>
    </row>
    <row r="283" spans="3:16" x14ac:dyDescent="0.3">
      <c r="C283" s="114"/>
      <c r="D283" s="233" t="s">
        <v>647</v>
      </c>
      <c r="E283" s="234" t="s">
        <v>0</v>
      </c>
      <c r="F283" s="235">
        <v>1</v>
      </c>
      <c r="G283" s="236">
        <v>8.1</v>
      </c>
      <c r="H283" s="236">
        <v>0.3</v>
      </c>
      <c r="I283" s="236">
        <f>0.4*2</f>
        <v>0.8</v>
      </c>
      <c r="J283" s="235">
        <v>1</v>
      </c>
      <c r="K283" s="237"/>
      <c r="L283" s="237">
        <f t="shared" si="19"/>
        <v>8.91</v>
      </c>
      <c r="M283" s="111"/>
      <c r="N283" s="111"/>
      <c r="O283" s="111"/>
      <c r="P283" s="111"/>
    </row>
    <row r="284" spans="3:16" x14ac:dyDescent="0.3">
      <c r="C284" s="114"/>
      <c r="D284" s="233" t="s">
        <v>648</v>
      </c>
      <c r="E284" s="234" t="s">
        <v>0</v>
      </c>
      <c r="F284" s="235">
        <v>1</v>
      </c>
      <c r="G284" s="236">
        <v>1.8</v>
      </c>
      <c r="H284" s="236">
        <v>0.25</v>
      </c>
      <c r="I284" s="236"/>
      <c r="J284" s="235">
        <v>1</v>
      </c>
      <c r="K284" s="237"/>
      <c r="L284" s="237">
        <f t="shared" si="19"/>
        <v>0.45</v>
      </c>
      <c r="M284" s="111"/>
      <c r="N284" s="111"/>
      <c r="O284" s="111"/>
      <c r="P284" s="111"/>
    </row>
    <row r="285" spans="3:16" x14ac:dyDescent="0.3">
      <c r="C285" s="114"/>
      <c r="D285" s="233" t="s">
        <v>649</v>
      </c>
      <c r="E285" s="234" t="s">
        <v>0</v>
      </c>
      <c r="F285" s="235">
        <v>1</v>
      </c>
      <c r="G285" s="236">
        <v>3.6</v>
      </c>
      <c r="H285" s="236"/>
      <c r="I285" s="236"/>
      <c r="J285" s="235">
        <v>1</v>
      </c>
      <c r="K285" s="237"/>
      <c r="L285" s="237">
        <f t="shared" si="19"/>
        <v>0</v>
      </c>
      <c r="M285" s="111"/>
      <c r="N285" s="111"/>
      <c r="O285" s="111"/>
      <c r="P285" s="111"/>
    </row>
    <row r="286" spans="3:16" x14ac:dyDescent="0.3">
      <c r="C286" s="106"/>
      <c r="D286" s="115" t="s">
        <v>68</v>
      </c>
      <c r="E286" s="121"/>
      <c r="F286" s="3"/>
      <c r="G286" s="122"/>
      <c r="H286" s="122"/>
      <c r="I286" s="122" t="s">
        <v>625</v>
      </c>
      <c r="J286" s="3"/>
      <c r="K286" s="113"/>
      <c r="L286" s="113"/>
      <c r="M286" s="113"/>
      <c r="N286" s="113"/>
      <c r="O286" s="113"/>
      <c r="P286" s="113"/>
    </row>
    <row r="287" spans="3:16" x14ac:dyDescent="0.3">
      <c r="C287" s="114"/>
      <c r="D287" s="233" t="s">
        <v>626</v>
      </c>
      <c r="E287" s="234" t="s">
        <v>0</v>
      </c>
      <c r="F287" s="235">
        <v>1</v>
      </c>
      <c r="G287" s="236">
        <v>2.15</v>
      </c>
      <c r="H287" s="236">
        <v>0.35</v>
      </c>
      <c r="I287" s="236"/>
      <c r="J287" s="235">
        <v>1</v>
      </c>
      <c r="K287" s="237"/>
      <c r="L287" s="237">
        <f>((I287)+H287)*F287*G287*J287</f>
        <v>0.75249999999999995</v>
      </c>
      <c r="M287" s="111"/>
      <c r="N287" s="111"/>
      <c r="O287" s="111"/>
      <c r="P287" s="111"/>
    </row>
    <row r="288" spans="3:16" x14ac:dyDescent="0.3">
      <c r="C288" s="114"/>
      <c r="D288" s="233" t="s">
        <v>627</v>
      </c>
      <c r="E288" s="234" t="s">
        <v>0</v>
      </c>
      <c r="F288" s="235">
        <v>1</v>
      </c>
      <c r="G288" s="236">
        <v>2.15</v>
      </c>
      <c r="H288" s="236">
        <v>0.35</v>
      </c>
      <c r="I288" s="236"/>
      <c r="J288" s="235">
        <v>1</v>
      </c>
      <c r="K288" s="237"/>
      <c r="L288" s="237">
        <f t="shared" ref="L288:L300" si="20">((I288)+H288)*F288*G288*J288</f>
        <v>0.75249999999999995</v>
      </c>
      <c r="M288" s="111"/>
      <c r="N288" s="111"/>
      <c r="O288" s="111"/>
      <c r="P288" s="111"/>
    </row>
    <row r="289" spans="3:16" x14ac:dyDescent="0.3">
      <c r="C289" s="114"/>
      <c r="D289" s="233" t="s">
        <v>628</v>
      </c>
      <c r="E289" s="234" t="s">
        <v>0</v>
      </c>
      <c r="F289" s="235">
        <v>1</v>
      </c>
      <c r="G289" s="236">
        <v>2.15</v>
      </c>
      <c r="H289" s="236">
        <v>0.35</v>
      </c>
      <c r="I289" s="236"/>
      <c r="J289" s="235">
        <v>1</v>
      </c>
      <c r="K289" s="237"/>
      <c r="L289" s="237">
        <f t="shared" si="20"/>
        <v>0.75249999999999995</v>
      </c>
      <c r="M289" s="111"/>
      <c r="N289" s="111"/>
      <c r="O289" s="111"/>
      <c r="P289" s="111"/>
    </row>
    <row r="290" spans="3:16" x14ac:dyDescent="0.3">
      <c r="C290" s="114"/>
      <c r="D290" s="233" t="s">
        <v>629</v>
      </c>
      <c r="E290" s="234" t="s">
        <v>0</v>
      </c>
      <c r="F290" s="235">
        <v>1</v>
      </c>
      <c r="G290" s="236">
        <v>2.15</v>
      </c>
      <c r="H290" s="236">
        <v>0.35</v>
      </c>
      <c r="I290" s="236"/>
      <c r="J290" s="235">
        <v>1</v>
      </c>
      <c r="K290" s="237"/>
      <c r="L290" s="237">
        <f t="shared" si="20"/>
        <v>0.75249999999999995</v>
      </c>
      <c r="M290" s="111"/>
      <c r="N290" s="111"/>
      <c r="O290" s="111"/>
      <c r="P290" s="111"/>
    </row>
    <row r="291" spans="3:16" x14ac:dyDescent="0.3">
      <c r="C291" s="114"/>
      <c r="D291" s="233" t="s">
        <v>630</v>
      </c>
      <c r="E291" s="234" t="s">
        <v>0</v>
      </c>
      <c r="F291" s="235">
        <v>1</v>
      </c>
      <c r="G291" s="236">
        <v>2.15</v>
      </c>
      <c r="H291" s="236">
        <v>0.35</v>
      </c>
      <c r="I291" s="236"/>
      <c r="J291" s="235">
        <v>1</v>
      </c>
      <c r="K291" s="237"/>
      <c r="L291" s="237">
        <f t="shared" si="20"/>
        <v>0.75249999999999995</v>
      </c>
      <c r="M291" s="111"/>
      <c r="N291" s="111"/>
      <c r="O291" s="111"/>
      <c r="P291" s="111"/>
    </row>
    <row r="292" spans="3:16" x14ac:dyDescent="0.3">
      <c r="C292" s="114"/>
      <c r="D292" s="233" t="s">
        <v>631</v>
      </c>
      <c r="E292" s="234" t="s">
        <v>0</v>
      </c>
      <c r="F292" s="235">
        <v>1</v>
      </c>
      <c r="G292" s="236">
        <v>2.15</v>
      </c>
      <c r="H292" s="236">
        <v>0.35</v>
      </c>
      <c r="I292" s="236"/>
      <c r="J292" s="235">
        <v>1</v>
      </c>
      <c r="K292" s="237"/>
      <c r="L292" s="237">
        <f t="shared" si="20"/>
        <v>0.75249999999999995</v>
      </c>
      <c r="M292" s="111"/>
      <c r="N292" s="111"/>
      <c r="O292" s="111"/>
      <c r="P292" s="111"/>
    </row>
    <row r="293" spans="3:16" x14ac:dyDescent="0.3">
      <c r="C293" s="114"/>
      <c r="D293" s="233" t="s">
        <v>632</v>
      </c>
      <c r="E293" s="234" t="s">
        <v>0</v>
      </c>
      <c r="F293" s="235">
        <v>1</v>
      </c>
      <c r="G293" s="236">
        <v>2.15</v>
      </c>
      <c r="H293" s="236">
        <v>0.35</v>
      </c>
      <c r="I293" s="236"/>
      <c r="J293" s="235">
        <v>1</v>
      </c>
      <c r="K293" s="237"/>
      <c r="L293" s="237">
        <f t="shared" si="20"/>
        <v>0.75249999999999995</v>
      </c>
      <c r="M293" s="111"/>
      <c r="N293" s="111"/>
      <c r="O293" s="111"/>
      <c r="P293" s="111"/>
    </row>
    <row r="294" spans="3:16" x14ac:dyDescent="0.3">
      <c r="C294" s="114"/>
      <c r="D294" s="233" t="s">
        <v>633</v>
      </c>
      <c r="E294" s="234" t="s">
        <v>0</v>
      </c>
      <c r="F294" s="235">
        <v>1</v>
      </c>
      <c r="G294" s="236">
        <v>2.15</v>
      </c>
      <c r="H294" s="236">
        <v>0.35</v>
      </c>
      <c r="I294" s="236"/>
      <c r="J294" s="235">
        <v>1</v>
      </c>
      <c r="K294" s="237"/>
      <c r="L294" s="237">
        <f t="shared" si="20"/>
        <v>0.75249999999999995</v>
      </c>
      <c r="M294" s="111"/>
      <c r="N294" s="111"/>
      <c r="O294" s="111"/>
      <c r="P294" s="111"/>
    </row>
    <row r="295" spans="3:16" x14ac:dyDescent="0.3">
      <c r="C295" s="114"/>
      <c r="D295" s="233" t="s">
        <v>634</v>
      </c>
      <c r="E295" s="234" t="s">
        <v>0</v>
      </c>
      <c r="F295" s="235">
        <v>1</v>
      </c>
      <c r="G295" s="236">
        <v>2.15</v>
      </c>
      <c r="H295" s="236">
        <v>0.35</v>
      </c>
      <c r="I295" s="236"/>
      <c r="J295" s="235">
        <v>1</v>
      </c>
      <c r="K295" s="237"/>
      <c r="L295" s="237">
        <f t="shared" si="20"/>
        <v>0.75249999999999995</v>
      </c>
      <c r="M295" s="111"/>
      <c r="N295" s="111"/>
      <c r="O295" s="111"/>
      <c r="P295" s="111"/>
    </row>
    <row r="296" spans="3:16" x14ac:dyDescent="0.3">
      <c r="C296" s="114"/>
      <c r="D296" s="233" t="s">
        <v>635</v>
      </c>
      <c r="E296" s="234" t="s">
        <v>0</v>
      </c>
      <c r="F296" s="235">
        <v>1</v>
      </c>
      <c r="G296" s="236">
        <v>2.15</v>
      </c>
      <c r="H296" s="236">
        <v>0.35</v>
      </c>
      <c r="I296" s="236"/>
      <c r="J296" s="235">
        <v>1</v>
      </c>
      <c r="K296" s="237"/>
      <c r="L296" s="237">
        <f t="shared" si="20"/>
        <v>0.75249999999999995</v>
      </c>
      <c r="M296" s="111"/>
      <c r="N296" s="111"/>
      <c r="O296" s="111"/>
      <c r="P296" s="111"/>
    </row>
    <row r="297" spans="3:16" x14ac:dyDescent="0.3">
      <c r="C297" s="114"/>
      <c r="D297" s="233" t="s">
        <v>636</v>
      </c>
      <c r="E297" s="234" t="s">
        <v>0</v>
      </c>
      <c r="F297" s="235">
        <v>1</v>
      </c>
      <c r="G297" s="236">
        <v>2.15</v>
      </c>
      <c r="H297" s="236">
        <v>0.35</v>
      </c>
      <c r="I297" s="236"/>
      <c r="J297" s="235">
        <v>1</v>
      </c>
      <c r="K297" s="237"/>
      <c r="L297" s="237">
        <f t="shared" si="20"/>
        <v>0.75249999999999995</v>
      </c>
      <c r="M297" s="111"/>
      <c r="N297" s="111"/>
      <c r="O297" s="111"/>
      <c r="P297" s="111"/>
    </row>
    <row r="298" spans="3:16" x14ac:dyDescent="0.3">
      <c r="C298" s="114"/>
      <c r="D298" s="233" t="s">
        <v>637</v>
      </c>
      <c r="E298" s="234" t="s">
        <v>0</v>
      </c>
      <c r="F298" s="235">
        <v>1</v>
      </c>
      <c r="G298" s="236">
        <v>2.15</v>
      </c>
      <c r="H298" s="236">
        <v>0.35</v>
      </c>
      <c r="I298" s="236"/>
      <c r="J298" s="235">
        <v>1</v>
      </c>
      <c r="K298" s="237"/>
      <c r="L298" s="237">
        <f t="shared" si="20"/>
        <v>0.75249999999999995</v>
      </c>
      <c r="M298" s="111"/>
      <c r="N298" s="111"/>
      <c r="O298" s="111"/>
      <c r="P298" s="111"/>
    </row>
    <row r="299" spans="3:16" x14ac:dyDescent="0.3">
      <c r="C299" s="114"/>
      <c r="D299" s="233" t="s">
        <v>638</v>
      </c>
      <c r="E299" s="234" t="s">
        <v>0</v>
      </c>
      <c r="F299" s="235">
        <v>1</v>
      </c>
      <c r="G299" s="236">
        <v>2.15</v>
      </c>
      <c r="H299" s="236">
        <v>0.35</v>
      </c>
      <c r="I299" s="236"/>
      <c r="J299" s="235">
        <v>1</v>
      </c>
      <c r="K299" s="237"/>
      <c r="L299" s="237">
        <f t="shared" si="20"/>
        <v>0.75249999999999995</v>
      </c>
      <c r="M299" s="111"/>
      <c r="N299" s="111"/>
      <c r="O299" s="111"/>
      <c r="P299" s="111"/>
    </row>
    <row r="300" spans="3:16" x14ac:dyDescent="0.3">
      <c r="C300" s="114"/>
      <c r="D300" s="233" t="s">
        <v>639</v>
      </c>
      <c r="E300" s="234" t="s">
        <v>0</v>
      </c>
      <c r="F300" s="235">
        <v>1</v>
      </c>
      <c r="G300" s="236">
        <v>2.15</v>
      </c>
      <c r="H300" s="236">
        <v>0.35</v>
      </c>
      <c r="I300" s="236"/>
      <c r="J300" s="235">
        <v>1</v>
      </c>
      <c r="K300" s="237"/>
      <c r="L300" s="237">
        <f t="shared" si="20"/>
        <v>0.75249999999999995</v>
      </c>
      <c r="M300" s="111"/>
      <c r="N300" s="111"/>
      <c r="O300" s="111"/>
      <c r="P300" s="111"/>
    </row>
    <row r="301" spans="3:16" x14ac:dyDescent="0.3">
      <c r="C301" s="114"/>
      <c r="D301" s="233" t="s">
        <v>580</v>
      </c>
      <c r="E301" s="234" t="s">
        <v>0</v>
      </c>
      <c r="F301" s="235">
        <v>1</v>
      </c>
      <c r="G301" s="236">
        <v>3.38</v>
      </c>
      <c r="H301" s="236">
        <v>0.2</v>
      </c>
      <c r="I301" s="236">
        <v>0.25</v>
      </c>
      <c r="J301" s="235">
        <v>1</v>
      </c>
      <c r="K301" s="237"/>
      <c r="L301" s="237">
        <f>((I301)+H301)*F301*G301*J301</f>
        <v>1.5209999999999999</v>
      </c>
      <c r="M301" s="111"/>
      <c r="N301" s="111"/>
      <c r="O301" s="111"/>
      <c r="P301" s="111"/>
    </row>
    <row r="302" spans="3:16" x14ac:dyDescent="0.3">
      <c r="C302" s="114"/>
      <c r="D302" s="233" t="s">
        <v>581</v>
      </c>
      <c r="E302" s="234" t="s">
        <v>0</v>
      </c>
      <c r="F302" s="235">
        <v>1</v>
      </c>
      <c r="G302" s="236">
        <v>3.4</v>
      </c>
      <c r="H302" s="236">
        <v>0.2</v>
      </c>
      <c r="I302" s="236">
        <v>0.1</v>
      </c>
      <c r="J302" s="235">
        <v>1</v>
      </c>
      <c r="K302" s="237"/>
      <c r="L302" s="237">
        <f t="shared" ref="L302:L307" si="21">((I302)+H302)*F302*G302*J302</f>
        <v>1.02</v>
      </c>
      <c r="M302" s="111"/>
      <c r="N302" s="111"/>
      <c r="O302" s="111"/>
      <c r="P302" s="111"/>
    </row>
    <row r="303" spans="3:16" x14ac:dyDescent="0.3">
      <c r="C303" s="114"/>
      <c r="D303" s="233" t="s">
        <v>582</v>
      </c>
      <c r="E303" s="234" t="s">
        <v>0</v>
      </c>
      <c r="F303" s="235">
        <v>1</v>
      </c>
      <c r="G303" s="236">
        <v>3.4</v>
      </c>
      <c r="H303" s="236">
        <v>0.2</v>
      </c>
      <c r="I303" s="236">
        <v>0.1</v>
      </c>
      <c r="J303" s="235">
        <v>1</v>
      </c>
      <c r="K303" s="237"/>
      <c r="L303" s="237">
        <f t="shared" si="21"/>
        <v>1.02</v>
      </c>
      <c r="M303" s="111"/>
      <c r="N303" s="111"/>
      <c r="O303" s="111"/>
      <c r="P303" s="111"/>
    </row>
    <row r="304" spans="3:16" x14ac:dyDescent="0.3">
      <c r="C304" s="114"/>
      <c r="D304" s="233" t="s">
        <v>589</v>
      </c>
      <c r="E304" s="234" t="s">
        <v>0</v>
      </c>
      <c r="F304" s="235">
        <v>1</v>
      </c>
      <c r="G304" s="236">
        <v>3.4</v>
      </c>
      <c r="H304" s="236">
        <v>0.2</v>
      </c>
      <c r="I304" s="236">
        <v>0.1</v>
      </c>
      <c r="J304" s="235">
        <v>1</v>
      </c>
      <c r="K304" s="237"/>
      <c r="L304" s="237">
        <f t="shared" si="21"/>
        <v>1.02</v>
      </c>
      <c r="M304" s="111"/>
      <c r="N304" s="111"/>
      <c r="O304" s="111"/>
      <c r="P304" s="111"/>
    </row>
    <row r="305" spans="3:16" x14ac:dyDescent="0.3">
      <c r="C305" s="114"/>
      <c r="D305" s="233" t="s">
        <v>585</v>
      </c>
      <c r="E305" s="234" t="s">
        <v>0</v>
      </c>
      <c r="F305" s="235">
        <v>1</v>
      </c>
      <c r="G305" s="236">
        <v>3.4</v>
      </c>
      <c r="H305" s="236">
        <v>0.2</v>
      </c>
      <c r="I305" s="236">
        <v>0.1</v>
      </c>
      <c r="J305" s="235">
        <v>1</v>
      </c>
      <c r="K305" s="237"/>
      <c r="L305" s="237">
        <f t="shared" si="21"/>
        <v>1.02</v>
      </c>
      <c r="M305" s="111"/>
      <c r="N305" s="111"/>
      <c r="O305" s="111"/>
      <c r="P305" s="111"/>
    </row>
    <row r="306" spans="3:16" x14ac:dyDescent="0.3">
      <c r="C306" s="114"/>
      <c r="D306" s="233" t="s">
        <v>586</v>
      </c>
      <c r="E306" s="234" t="s">
        <v>0</v>
      </c>
      <c r="F306" s="235">
        <v>1</v>
      </c>
      <c r="G306" s="236">
        <v>3.4</v>
      </c>
      <c r="H306" s="236">
        <v>0.2</v>
      </c>
      <c r="I306" s="236">
        <v>0.1</v>
      </c>
      <c r="J306" s="235">
        <v>1</v>
      </c>
      <c r="K306" s="237"/>
      <c r="L306" s="237">
        <f t="shared" si="21"/>
        <v>1.02</v>
      </c>
      <c r="M306" s="111"/>
      <c r="N306" s="111"/>
      <c r="O306" s="111"/>
      <c r="P306" s="111"/>
    </row>
    <row r="307" spans="3:16" x14ac:dyDescent="0.3">
      <c r="C307" s="114"/>
      <c r="D307" s="233" t="s">
        <v>591</v>
      </c>
      <c r="E307" s="234" t="s">
        <v>0</v>
      </c>
      <c r="F307" s="235">
        <v>1</v>
      </c>
      <c r="G307" s="236">
        <v>3.37</v>
      </c>
      <c r="H307" s="236">
        <v>0.2</v>
      </c>
      <c r="I307" s="236">
        <v>0.25</v>
      </c>
      <c r="J307" s="235">
        <v>1</v>
      </c>
      <c r="K307" s="237"/>
      <c r="L307" s="237">
        <f t="shared" si="21"/>
        <v>1.5165000000000002</v>
      </c>
      <c r="M307" s="111"/>
      <c r="N307" s="111"/>
      <c r="O307" s="111"/>
      <c r="P307" s="111"/>
    </row>
    <row r="308" spans="3:16" x14ac:dyDescent="0.3">
      <c r="C308" s="114"/>
      <c r="D308" s="233" t="s">
        <v>573</v>
      </c>
      <c r="E308" s="234" t="s">
        <v>0</v>
      </c>
      <c r="F308" s="235">
        <v>1</v>
      </c>
      <c r="G308" s="236">
        <v>3.38</v>
      </c>
      <c r="H308" s="268">
        <v>0.45</v>
      </c>
      <c r="I308" s="236"/>
      <c r="J308" s="235">
        <v>1</v>
      </c>
      <c r="K308" s="237"/>
      <c r="L308" s="237">
        <f>((I308)+H308)*F308*G308*J308</f>
        <v>1.5209999999999999</v>
      </c>
      <c r="M308" s="111"/>
      <c r="N308" s="111"/>
      <c r="O308" s="111"/>
      <c r="P308" s="111"/>
    </row>
    <row r="309" spans="3:16" x14ac:dyDescent="0.3">
      <c r="C309" s="114"/>
      <c r="D309" s="233" t="s">
        <v>574</v>
      </c>
      <c r="E309" s="234" t="s">
        <v>0</v>
      </c>
      <c r="F309" s="235">
        <v>1</v>
      </c>
      <c r="G309" s="236">
        <v>3.4</v>
      </c>
      <c r="H309" s="268">
        <v>0.45</v>
      </c>
      <c r="I309" s="236"/>
      <c r="J309" s="235">
        <v>1</v>
      </c>
      <c r="K309" s="237"/>
      <c r="L309" s="237">
        <f t="shared" ref="L309:L331" si="22">((I309)+H309)*F309*G309*J309</f>
        <v>1.53</v>
      </c>
      <c r="M309" s="111"/>
      <c r="N309" s="111"/>
      <c r="O309" s="111"/>
      <c r="P309" s="111"/>
    </row>
    <row r="310" spans="3:16" x14ac:dyDescent="0.3">
      <c r="C310" s="114"/>
      <c r="D310" s="233" t="s">
        <v>575</v>
      </c>
      <c r="E310" s="234" t="s">
        <v>0</v>
      </c>
      <c r="F310" s="235">
        <v>1</v>
      </c>
      <c r="G310" s="236">
        <v>3.4</v>
      </c>
      <c r="H310" s="268">
        <v>0.45</v>
      </c>
      <c r="I310" s="236"/>
      <c r="J310" s="235">
        <v>1</v>
      </c>
      <c r="K310" s="237"/>
      <c r="L310" s="237">
        <f t="shared" si="22"/>
        <v>1.53</v>
      </c>
      <c r="M310" s="111"/>
      <c r="N310" s="111"/>
      <c r="O310" s="111"/>
      <c r="P310" s="111"/>
    </row>
    <row r="311" spans="3:16" x14ac:dyDescent="0.3">
      <c r="C311" s="114"/>
      <c r="D311" s="233" t="s">
        <v>621</v>
      </c>
      <c r="E311" s="234" t="s">
        <v>0</v>
      </c>
      <c r="F311" s="235">
        <v>1</v>
      </c>
      <c r="G311" s="236">
        <v>3.4</v>
      </c>
      <c r="H311" s="268">
        <v>0.45</v>
      </c>
      <c r="I311" s="236"/>
      <c r="J311" s="235">
        <v>1</v>
      </c>
      <c r="K311" s="237"/>
      <c r="L311" s="237">
        <f t="shared" si="22"/>
        <v>1.53</v>
      </c>
      <c r="M311" s="111"/>
      <c r="N311" s="111"/>
      <c r="O311" s="111"/>
      <c r="P311" s="111"/>
    </row>
    <row r="312" spans="3:16" x14ac:dyDescent="0.3">
      <c r="C312" s="114"/>
      <c r="D312" s="233" t="s">
        <v>576</v>
      </c>
      <c r="E312" s="234" t="s">
        <v>0</v>
      </c>
      <c r="F312" s="235">
        <v>1</v>
      </c>
      <c r="G312" s="236">
        <v>3.4</v>
      </c>
      <c r="H312" s="268">
        <v>0.45</v>
      </c>
      <c r="I312" s="236"/>
      <c r="J312" s="235">
        <v>1</v>
      </c>
      <c r="K312" s="237"/>
      <c r="L312" s="237">
        <f t="shared" si="22"/>
        <v>1.53</v>
      </c>
      <c r="M312" s="111"/>
      <c r="N312" s="111"/>
      <c r="O312" s="111"/>
      <c r="P312" s="111"/>
    </row>
    <row r="313" spans="3:16" x14ac:dyDescent="0.3">
      <c r="C313" s="114"/>
      <c r="D313" s="233" t="s">
        <v>622</v>
      </c>
      <c r="E313" s="234" t="s">
        <v>0</v>
      </c>
      <c r="F313" s="235">
        <v>1</v>
      </c>
      <c r="G313" s="236">
        <v>3.4</v>
      </c>
      <c r="H313" s="268">
        <v>0.45</v>
      </c>
      <c r="I313" s="236"/>
      <c r="J313" s="235">
        <v>1</v>
      </c>
      <c r="K313" s="237"/>
      <c r="L313" s="237">
        <f t="shared" si="22"/>
        <v>1.53</v>
      </c>
      <c r="M313" s="111"/>
      <c r="N313" s="111"/>
      <c r="O313" s="111"/>
      <c r="P313" s="111"/>
    </row>
    <row r="314" spans="3:16" x14ac:dyDescent="0.3">
      <c r="C314" s="114"/>
      <c r="D314" s="233" t="s">
        <v>577</v>
      </c>
      <c r="E314" s="234" t="s">
        <v>0</v>
      </c>
      <c r="F314" s="235">
        <v>1</v>
      </c>
      <c r="G314" s="236">
        <v>3.37</v>
      </c>
      <c r="H314" s="268">
        <v>0.45</v>
      </c>
      <c r="I314" s="236"/>
      <c r="J314" s="235">
        <v>1</v>
      </c>
      <c r="K314" s="237"/>
      <c r="L314" s="237">
        <f t="shared" si="22"/>
        <v>1.5165000000000002</v>
      </c>
      <c r="M314" s="111"/>
      <c r="N314" s="111"/>
      <c r="O314" s="111"/>
      <c r="P314" s="111"/>
    </row>
    <row r="315" spans="3:16" x14ac:dyDescent="0.3">
      <c r="C315" s="114"/>
      <c r="D315" s="233" t="s">
        <v>640</v>
      </c>
      <c r="E315" s="234" t="s">
        <v>0</v>
      </c>
      <c r="F315" s="235">
        <v>1</v>
      </c>
      <c r="G315" s="236">
        <v>1.8</v>
      </c>
      <c r="H315" s="236">
        <v>0.3</v>
      </c>
      <c r="I315" s="236"/>
      <c r="J315" s="235">
        <v>1</v>
      </c>
      <c r="K315" s="237"/>
      <c r="L315" s="237">
        <f t="shared" si="22"/>
        <v>0.54</v>
      </c>
      <c r="M315" s="111"/>
      <c r="N315" s="111"/>
      <c r="O315" s="111"/>
      <c r="P315" s="111"/>
    </row>
    <row r="316" spans="3:16" x14ac:dyDescent="0.3">
      <c r="C316" s="114"/>
      <c r="D316" s="233" t="s">
        <v>579</v>
      </c>
      <c r="E316" s="234" t="s">
        <v>0</v>
      </c>
      <c r="F316" s="235">
        <v>1</v>
      </c>
      <c r="G316" s="236">
        <v>4.8</v>
      </c>
      <c r="H316" s="236">
        <v>0</v>
      </c>
      <c r="I316" s="236">
        <v>0.35</v>
      </c>
      <c r="J316" s="235">
        <v>1</v>
      </c>
      <c r="K316" s="237"/>
      <c r="L316" s="237">
        <f t="shared" si="22"/>
        <v>1.68</v>
      </c>
      <c r="M316" s="111"/>
      <c r="N316" s="111"/>
      <c r="O316" s="111"/>
      <c r="P316" s="111"/>
    </row>
    <row r="317" spans="3:16" x14ac:dyDescent="0.3">
      <c r="C317" s="114"/>
      <c r="D317" s="233" t="s">
        <v>641</v>
      </c>
      <c r="E317" s="234" t="s">
        <v>0</v>
      </c>
      <c r="F317" s="235">
        <v>1</v>
      </c>
      <c r="G317" s="236">
        <v>1.8</v>
      </c>
      <c r="H317" s="236">
        <v>0.3</v>
      </c>
      <c r="I317" s="236">
        <v>0</v>
      </c>
      <c r="J317" s="235">
        <v>1</v>
      </c>
      <c r="K317" s="237"/>
      <c r="L317" s="237">
        <f t="shared" si="22"/>
        <v>0.54</v>
      </c>
      <c r="M317" s="111"/>
      <c r="N317" s="111"/>
      <c r="O317" s="111"/>
      <c r="P317" s="111"/>
    </row>
    <row r="318" spans="3:16" x14ac:dyDescent="0.3">
      <c r="C318" s="114"/>
      <c r="D318" s="233" t="s">
        <v>561</v>
      </c>
      <c r="E318" s="234" t="s">
        <v>0</v>
      </c>
      <c r="F318" s="235">
        <v>1</v>
      </c>
      <c r="G318" s="236">
        <v>4.8</v>
      </c>
      <c r="H318" s="236">
        <v>0.3</v>
      </c>
      <c r="I318" s="236">
        <f>0.35+0.2</f>
        <v>0.55000000000000004</v>
      </c>
      <c r="J318" s="235">
        <v>1</v>
      </c>
      <c r="K318" s="237"/>
      <c r="L318" s="237">
        <f t="shared" si="22"/>
        <v>4.08</v>
      </c>
      <c r="M318" s="111"/>
      <c r="N318" s="111"/>
      <c r="O318" s="111"/>
      <c r="P318" s="111"/>
    </row>
    <row r="319" spans="3:16" x14ac:dyDescent="0.3">
      <c r="C319" s="114"/>
      <c r="D319" s="233" t="s">
        <v>642</v>
      </c>
      <c r="E319" s="234" t="s">
        <v>0</v>
      </c>
      <c r="F319" s="235">
        <v>1</v>
      </c>
      <c r="G319" s="236">
        <v>1.8</v>
      </c>
      <c r="H319" s="236">
        <v>0.3</v>
      </c>
      <c r="I319" s="236">
        <v>0</v>
      </c>
      <c r="J319" s="235">
        <v>1</v>
      </c>
      <c r="K319" s="237"/>
      <c r="L319" s="237">
        <f t="shared" si="22"/>
        <v>0.54</v>
      </c>
      <c r="M319" s="111"/>
      <c r="N319" s="111"/>
      <c r="O319" s="111"/>
      <c r="P319" s="111"/>
    </row>
    <row r="320" spans="3:16" x14ac:dyDescent="0.3">
      <c r="C320" s="114"/>
      <c r="D320" s="233" t="s">
        <v>562</v>
      </c>
      <c r="E320" s="234" t="s">
        <v>0</v>
      </c>
      <c r="F320" s="235">
        <v>1</v>
      </c>
      <c r="G320" s="236">
        <v>4.8</v>
      </c>
      <c r="H320" s="236">
        <v>0.3</v>
      </c>
      <c r="I320" s="236">
        <f>0.2*2</f>
        <v>0.4</v>
      </c>
      <c r="J320" s="235">
        <v>1</v>
      </c>
      <c r="K320" s="237"/>
      <c r="L320" s="237">
        <f t="shared" si="22"/>
        <v>3.36</v>
      </c>
      <c r="M320" s="111"/>
      <c r="N320" s="111"/>
      <c r="O320" s="111"/>
      <c r="P320" s="111"/>
    </row>
    <row r="321" spans="3:16" x14ac:dyDescent="0.3">
      <c r="C321" s="114"/>
      <c r="D321" s="233" t="s">
        <v>643</v>
      </c>
      <c r="E321" s="234" t="s">
        <v>0</v>
      </c>
      <c r="F321" s="235">
        <v>1</v>
      </c>
      <c r="G321" s="236">
        <v>1.8</v>
      </c>
      <c r="H321" s="236">
        <v>0.3</v>
      </c>
      <c r="I321" s="236">
        <v>0</v>
      </c>
      <c r="J321" s="235">
        <v>1</v>
      </c>
      <c r="K321" s="237"/>
      <c r="L321" s="237">
        <f t="shared" si="22"/>
        <v>0.54</v>
      </c>
      <c r="M321" s="111"/>
      <c r="N321" s="111"/>
      <c r="O321" s="111"/>
      <c r="P321" s="111"/>
    </row>
    <row r="322" spans="3:16" x14ac:dyDescent="0.3">
      <c r="C322" s="114"/>
      <c r="D322" s="233" t="s">
        <v>623</v>
      </c>
      <c r="E322" s="234" t="s">
        <v>0</v>
      </c>
      <c r="F322" s="235">
        <v>1</v>
      </c>
      <c r="G322" s="236">
        <v>4.8</v>
      </c>
      <c r="H322" s="236">
        <v>0.3</v>
      </c>
      <c r="I322" s="236">
        <f>0.2*2</f>
        <v>0.4</v>
      </c>
      <c r="J322" s="235">
        <v>1</v>
      </c>
      <c r="K322" s="237"/>
      <c r="L322" s="237">
        <f t="shared" si="22"/>
        <v>3.36</v>
      </c>
      <c r="M322" s="111"/>
      <c r="N322" s="111"/>
      <c r="O322" s="111"/>
      <c r="P322" s="111"/>
    </row>
    <row r="323" spans="3:16" x14ac:dyDescent="0.3">
      <c r="C323" s="114"/>
      <c r="D323" s="233" t="s">
        <v>650</v>
      </c>
      <c r="E323" s="234" t="s">
        <v>0</v>
      </c>
      <c r="F323" s="235">
        <v>1</v>
      </c>
      <c r="G323" s="236">
        <v>1.8</v>
      </c>
      <c r="H323" s="236">
        <v>0.3</v>
      </c>
      <c r="I323" s="236">
        <v>0</v>
      </c>
      <c r="J323" s="235">
        <v>1</v>
      </c>
      <c r="K323" s="237"/>
      <c r="L323" s="237">
        <f t="shared" si="22"/>
        <v>0.54</v>
      </c>
      <c r="M323" s="111"/>
      <c r="N323" s="111"/>
      <c r="O323" s="111"/>
      <c r="P323" s="111"/>
    </row>
    <row r="324" spans="3:16" x14ac:dyDescent="0.3">
      <c r="C324" s="114"/>
      <c r="D324" s="233" t="s">
        <v>590</v>
      </c>
      <c r="E324" s="234" t="s">
        <v>0</v>
      </c>
      <c r="F324" s="235">
        <v>1</v>
      </c>
      <c r="G324" s="236">
        <v>4.8</v>
      </c>
      <c r="H324" s="236">
        <v>0.3</v>
      </c>
      <c r="I324" s="236">
        <f>0.2*2</f>
        <v>0.4</v>
      </c>
      <c r="J324" s="235">
        <v>1</v>
      </c>
      <c r="K324" s="237"/>
      <c r="L324" s="237">
        <f t="shared" si="22"/>
        <v>3.36</v>
      </c>
      <c r="M324" s="111"/>
      <c r="N324" s="111"/>
      <c r="O324" s="111"/>
      <c r="P324" s="111"/>
    </row>
    <row r="325" spans="3:16" x14ac:dyDescent="0.3">
      <c r="C325" s="114"/>
      <c r="D325" s="233" t="s">
        <v>645</v>
      </c>
      <c r="E325" s="234" t="s">
        <v>0</v>
      </c>
      <c r="F325" s="235">
        <v>1</v>
      </c>
      <c r="G325" s="236">
        <v>1.8</v>
      </c>
      <c r="H325" s="236">
        <v>0.3</v>
      </c>
      <c r="I325" s="236">
        <v>0.3</v>
      </c>
      <c r="J325" s="235">
        <v>1</v>
      </c>
      <c r="K325" s="237"/>
      <c r="L325" s="237">
        <f t="shared" si="22"/>
        <v>1.08</v>
      </c>
      <c r="M325" s="111"/>
      <c r="N325" s="111"/>
      <c r="O325" s="111"/>
      <c r="P325" s="111"/>
    </row>
    <row r="326" spans="3:16" x14ac:dyDescent="0.3">
      <c r="C326" s="114"/>
      <c r="D326" s="233" t="s">
        <v>624</v>
      </c>
      <c r="E326" s="234" t="s">
        <v>0</v>
      </c>
      <c r="F326" s="235">
        <v>1</v>
      </c>
      <c r="G326" s="236">
        <v>4.8</v>
      </c>
      <c r="H326" s="236">
        <v>0.3</v>
      </c>
      <c r="I326" s="236">
        <f>0.2*2</f>
        <v>0.4</v>
      </c>
      <c r="J326" s="235">
        <v>1</v>
      </c>
      <c r="K326" s="237"/>
      <c r="L326" s="237">
        <f t="shared" si="22"/>
        <v>3.36</v>
      </c>
      <c r="M326" s="111"/>
      <c r="N326" s="111"/>
      <c r="O326" s="111"/>
      <c r="P326" s="111"/>
    </row>
    <row r="327" spans="3:16" x14ac:dyDescent="0.3">
      <c r="C327" s="114"/>
      <c r="D327" s="233" t="s">
        <v>651</v>
      </c>
      <c r="E327" s="234" t="s">
        <v>0</v>
      </c>
      <c r="F327" s="235">
        <v>1</v>
      </c>
      <c r="G327" s="236">
        <v>1.8</v>
      </c>
      <c r="H327" s="236">
        <v>0.3</v>
      </c>
      <c r="I327" s="236">
        <v>0</v>
      </c>
      <c r="J327" s="235">
        <v>1</v>
      </c>
      <c r="K327" s="237"/>
      <c r="L327" s="237">
        <f t="shared" si="22"/>
        <v>0.54</v>
      </c>
      <c r="M327" s="111"/>
      <c r="N327" s="111"/>
      <c r="O327" s="111"/>
      <c r="P327" s="111"/>
    </row>
    <row r="328" spans="3:16" x14ac:dyDescent="0.3">
      <c r="C328" s="114"/>
      <c r="D328" s="233" t="s">
        <v>565</v>
      </c>
      <c r="E328" s="234" t="s">
        <v>0</v>
      </c>
      <c r="F328" s="235">
        <v>1</v>
      </c>
      <c r="G328" s="236">
        <v>4.8</v>
      </c>
      <c r="H328" s="236">
        <v>0.3</v>
      </c>
      <c r="I328" s="236">
        <f>0.35+0.2</f>
        <v>0.55000000000000004</v>
      </c>
      <c r="J328" s="235">
        <v>1</v>
      </c>
      <c r="K328" s="237"/>
      <c r="L328" s="237">
        <f t="shared" si="22"/>
        <v>4.08</v>
      </c>
      <c r="M328" s="111"/>
      <c r="N328" s="111"/>
      <c r="O328" s="111"/>
      <c r="P328" s="111"/>
    </row>
    <row r="329" spans="3:16" x14ac:dyDescent="0.3">
      <c r="C329" s="114"/>
      <c r="D329" s="233" t="s">
        <v>652</v>
      </c>
      <c r="E329" s="234" t="s">
        <v>0</v>
      </c>
      <c r="F329" s="235">
        <v>1</v>
      </c>
      <c r="G329" s="236">
        <v>1.8</v>
      </c>
      <c r="H329" s="236">
        <v>0.3</v>
      </c>
      <c r="I329" s="236"/>
      <c r="J329" s="235">
        <v>1</v>
      </c>
      <c r="K329" s="237"/>
      <c r="L329" s="237">
        <f t="shared" si="22"/>
        <v>0.54</v>
      </c>
      <c r="M329" s="111"/>
      <c r="N329" s="111"/>
      <c r="O329" s="111"/>
      <c r="P329" s="111"/>
    </row>
    <row r="330" spans="3:16" x14ac:dyDescent="0.3">
      <c r="C330" s="114"/>
      <c r="D330" s="233" t="s">
        <v>238</v>
      </c>
      <c r="E330" s="234" t="s">
        <v>0</v>
      </c>
      <c r="F330" s="235">
        <v>21</v>
      </c>
      <c r="G330" s="236">
        <v>0.8</v>
      </c>
      <c r="H330" s="236">
        <v>0.15</v>
      </c>
      <c r="I330" s="236">
        <v>0</v>
      </c>
      <c r="J330" s="235">
        <v>1</v>
      </c>
      <c r="K330" s="237"/>
      <c r="L330" s="237">
        <f t="shared" si="22"/>
        <v>2.52</v>
      </c>
      <c r="M330" s="111"/>
      <c r="N330" s="111"/>
      <c r="O330" s="111"/>
      <c r="P330" s="111"/>
    </row>
    <row r="331" spans="3:16" x14ac:dyDescent="0.3">
      <c r="C331" s="114"/>
      <c r="D331" s="233" t="s">
        <v>239</v>
      </c>
      <c r="E331" s="234" t="s">
        <v>0</v>
      </c>
      <c r="F331" s="235">
        <v>21</v>
      </c>
      <c r="G331" s="236">
        <v>0.5</v>
      </c>
      <c r="H331" s="236">
        <v>0.1</v>
      </c>
      <c r="I331" s="236">
        <v>0</v>
      </c>
      <c r="J331" s="235">
        <v>1</v>
      </c>
      <c r="K331" s="237"/>
      <c r="L331" s="237">
        <f t="shared" si="22"/>
        <v>1.05</v>
      </c>
      <c r="M331" s="111"/>
      <c r="N331" s="111"/>
      <c r="O331" s="111"/>
      <c r="P331" s="111"/>
    </row>
    <row r="332" spans="3:16" x14ac:dyDescent="0.3">
      <c r="C332" s="106"/>
      <c r="D332" s="115" t="s">
        <v>106</v>
      </c>
      <c r="E332" s="121"/>
      <c r="F332" s="3"/>
      <c r="G332" s="122"/>
      <c r="H332" s="122"/>
      <c r="I332" s="122" t="s">
        <v>625</v>
      </c>
      <c r="J332" s="3"/>
      <c r="K332" s="113"/>
      <c r="L332" s="113"/>
      <c r="M332" s="113"/>
      <c r="N332" s="113"/>
      <c r="O332" s="113"/>
      <c r="P332" s="113"/>
    </row>
    <row r="333" spans="3:16" x14ac:dyDescent="0.3">
      <c r="C333" s="114"/>
      <c r="D333" s="233" t="s">
        <v>626</v>
      </c>
      <c r="E333" s="234" t="s">
        <v>0</v>
      </c>
      <c r="F333" s="235">
        <v>1</v>
      </c>
      <c r="G333" s="236">
        <v>2.15</v>
      </c>
      <c r="H333" s="236">
        <v>0.35</v>
      </c>
      <c r="I333" s="236"/>
      <c r="J333" s="235">
        <v>1</v>
      </c>
      <c r="K333" s="237"/>
      <c r="L333" s="237">
        <f>((I333)+H333)*F333*G333*J333</f>
        <v>0.75249999999999995</v>
      </c>
      <c r="M333" s="111"/>
      <c r="N333" s="111"/>
      <c r="O333" s="111"/>
      <c r="P333" s="111"/>
    </row>
    <row r="334" spans="3:16" x14ac:dyDescent="0.3">
      <c r="C334" s="114"/>
      <c r="D334" s="233" t="s">
        <v>627</v>
      </c>
      <c r="E334" s="234" t="s">
        <v>0</v>
      </c>
      <c r="F334" s="235">
        <v>1</v>
      </c>
      <c r="G334" s="236">
        <v>2.15</v>
      </c>
      <c r="H334" s="236">
        <v>0.35</v>
      </c>
      <c r="I334" s="236"/>
      <c r="J334" s="235">
        <v>1</v>
      </c>
      <c r="K334" s="237"/>
      <c r="L334" s="237">
        <f t="shared" ref="L334:L346" si="23">((I334)+H334)*F334*G334*J334</f>
        <v>0.75249999999999995</v>
      </c>
      <c r="M334" s="111"/>
      <c r="N334" s="111"/>
      <c r="O334" s="111"/>
      <c r="P334" s="111"/>
    </row>
    <row r="335" spans="3:16" x14ac:dyDescent="0.3">
      <c r="C335" s="114"/>
      <c r="D335" s="233" t="s">
        <v>628</v>
      </c>
      <c r="E335" s="234" t="s">
        <v>0</v>
      </c>
      <c r="F335" s="235">
        <v>1</v>
      </c>
      <c r="G335" s="236">
        <v>2.15</v>
      </c>
      <c r="H335" s="236">
        <v>0.35</v>
      </c>
      <c r="I335" s="236"/>
      <c r="J335" s="235">
        <v>1</v>
      </c>
      <c r="K335" s="237"/>
      <c r="L335" s="237">
        <f t="shared" si="23"/>
        <v>0.75249999999999995</v>
      </c>
      <c r="M335" s="111"/>
      <c r="N335" s="111"/>
      <c r="O335" s="111"/>
      <c r="P335" s="111"/>
    </row>
    <row r="336" spans="3:16" x14ac:dyDescent="0.3">
      <c r="C336" s="114"/>
      <c r="D336" s="233" t="s">
        <v>629</v>
      </c>
      <c r="E336" s="234" t="s">
        <v>0</v>
      </c>
      <c r="F336" s="235">
        <v>1</v>
      </c>
      <c r="G336" s="236">
        <v>2.15</v>
      </c>
      <c r="H336" s="236">
        <v>0.35</v>
      </c>
      <c r="I336" s="236"/>
      <c r="J336" s="235">
        <v>1</v>
      </c>
      <c r="K336" s="237"/>
      <c r="L336" s="237">
        <f t="shared" si="23"/>
        <v>0.75249999999999995</v>
      </c>
      <c r="M336" s="111"/>
      <c r="N336" s="111"/>
      <c r="O336" s="111"/>
      <c r="P336" s="111"/>
    </row>
    <row r="337" spans="3:16" x14ac:dyDescent="0.3">
      <c r="C337" s="114"/>
      <c r="D337" s="233" t="s">
        <v>630</v>
      </c>
      <c r="E337" s="234" t="s">
        <v>0</v>
      </c>
      <c r="F337" s="235">
        <v>1</v>
      </c>
      <c r="G337" s="236">
        <v>2.15</v>
      </c>
      <c r="H337" s="236">
        <v>0.35</v>
      </c>
      <c r="I337" s="236"/>
      <c r="J337" s="235">
        <v>1</v>
      </c>
      <c r="K337" s="237"/>
      <c r="L337" s="237">
        <f t="shared" si="23"/>
        <v>0.75249999999999995</v>
      </c>
      <c r="M337" s="111"/>
      <c r="N337" s="111"/>
      <c r="O337" s="111"/>
      <c r="P337" s="111"/>
    </row>
    <row r="338" spans="3:16" x14ac:dyDescent="0.3">
      <c r="C338" s="114"/>
      <c r="D338" s="233" t="s">
        <v>631</v>
      </c>
      <c r="E338" s="234" t="s">
        <v>0</v>
      </c>
      <c r="F338" s="235">
        <v>1</v>
      </c>
      <c r="G338" s="236">
        <v>2.15</v>
      </c>
      <c r="H338" s="236">
        <v>0.35</v>
      </c>
      <c r="I338" s="236"/>
      <c r="J338" s="235">
        <v>1</v>
      </c>
      <c r="K338" s="237"/>
      <c r="L338" s="237">
        <f t="shared" si="23"/>
        <v>0.75249999999999995</v>
      </c>
      <c r="M338" s="111"/>
      <c r="N338" s="111"/>
      <c r="O338" s="111"/>
      <c r="P338" s="111"/>
    </row>
    <row r="339" spans="3:16" x14ac:dyDescent="0.3">
      <c r="C339" s="114"/>
      <c r="D339" s="233" t="s">
        <v>632</v>
      </c>
      <c r="E339" s="234" t="s">
        <v>0</v>
      </c>
      <c r="F339" s="235">
        <v>1</v>
      </c>
      <c r="G339" s="236">
        <v>2.15</v>
      </c>
      <c r="H339" s="236">
        <v>0.35</v>
      </c>
      <c r="I339" s="236"/>
      <c r="J339" s="235">
        <v>1</v>
      </c>
      <c r="K339" s="237"/>
      <c r="L339" s="237">
        <f t="shared" si="23"/>
        <v>0.75249999999999995</v>
      </c>
      <c r="M339" s="111"/>
      <c r="N339" s="111"/>
      <c r="O339" s="111"/>
      <c r="P339" s="111"/>
    </row>
    <row r="340" spans="3:16" x14ac:dyDescent="0.3">
      <c r="C340" s="114"/>
      <c r="D340" s="233" t="s">
        <v>633</v>
      </c>
      <c r="E340" s="234" t="s">
        <v>0</v>
      </c>
      <c r="F340" s="235">
        <v>1</v>
      </c>
      <c r="G340" s="236">
        <v>2.15</v>
      </c>
      <c r="H340" s="236">
        <v>0.35</v>
      </c>
      <c r="I340" s="236"/>
      <c r="J340" s="235">
        <v>1</v>
      </c>
      <c r="K340" s="237"/>
      <c r="L340" s="237">
        <f t="shared" si="23"/>
        <v>0.75249999999999995</v>
      </c>
      <c r="M340" s="111"/>
      <c r="N340" s="111"/>
      <c r="O340" s="111"/>
      <c r="P340" s="111"/>
    </row>
    <row r="341" spans="3:16" x14ac:dyDescent="0.3">
      <c r="C341" s="114"/>
      <c r="D341" s="233" t="s">
        <v>634</v>
      </c>
      <c r="E341" s="234" t="s">
        <v>0</v>
      </c>
      <c r="F341" s="235">
        <v>1</v>
      </c>
      <c r="G341" s="236">
        <v>2.15</v>
      </c>
      <c r="H341" s="236">
        <v>0.35</v>
      </c>
      <c r="I341" s="236"/>
      <c r="J341" s="235">
        <v>1</v>
      </c>
      <c r="K341" s="237"/>
      <c r="L341" s="237">
        <f t="shared" si="23"/>
        <v>0.75249999999999995</v>
      </c>
      <c r="M341" s="111"/>
      <c r="N341" s="111"/>
      <c r="O341" s="111"/>
      <c r="P341" s="111"/>
    </row>
    <row r="342" spans="3:16" x14ac:dyDescent="0.3">
      <c r="C342" s="114"/>
      <c r="D342" s="233" t="s">
        <v>635</v>
      </c>
      <c r="E342" s="234" t="s">
        <v>0</v>
      </c>
      <c r="F342" s="235">
        <v>1</v>
      </c>
      <c r="G342" s="236">
        <v>2.15</v>
      </c>
      <c r="H342" s="236">
        <v>0.35</v>
      </c>
      <c r="I342" s="236"/>
      <c r="J342" s="235">
        <v>1</v>
      </c>
      <c r="K342" s="237"/>
      <c r="L342" s="237">
        <f t="shared" si="23"/>
        <v>0.75249999999999995</v>
      </c>
      <c r="M342" s="111"/>
      <c r="N342" s="111"/>
      <c r="O342" s="111"/>
      <c r="P342" s="111"/>
    </row>
    <row r="343" spans="3:16" x14ac:dyDescent="0.3">
      <c r="C343" s="114"/>
      <c r="D343" s="233" t="s">
        <v>636</v>
      </c>
      <c r="E343" s="234" t="s">
        <v>0</v>
      </c>
      <c r="F343" s="235">
        <v>1</v>
      </c>
      <c r="G343" s="236">
        <v>2.15</v>
      </c>
      <c r="H343" s="236">
        <v>0.35</v>
      </c>
      <c r="I343" s="236"/>
      <c r="J343" s="235">
        <v>1</v>
      </c>
      <c r="K343" s="237"/>
      <c r="L343" s="237">
        <f t="shared" si="23"/>
        <v>0.75249999999999995</v>
      </c>
      <c r="M343" s="111"/>
      <c r="N343" s="111"/>
      <c r="O343" s="111"/>
      <c r="P343" s="111"/>
    </row>
    <row r="344" spans="3:16" x14ac:dyDescent="0.3">
      <c r="C344" s="114"/>
      <c r="D344" s="233" t="s">
        <v>637</v>
      </c>
      <c r="E344" s="234" t="s">
        <v>0</v>
      </c>
      <c r="F344" s="235">
        <v>1</v>
      </c>
      <c r="G344" s="236">
        <v>2.15</v>
      </c>
      <c r="H344" s="236">
        <v>0.35</v>
      </c>
      <c r="I344" s="236"/>
      <c r="J344" s="235">
        <v>1</v>
      </c>
      <c r="K344" s="237"/>
      <c r="L344" s="237">
        <f t="shared" si="23"/>
        <v>0.75249999999999995</v>
      </c>
      <c r="M344" s="111"/>
      <c r="N344" s="111"/>
      <c r="O344" s="111"/>
      <c r="P344" s="111"/>
    </row>
    <row r="345" spans="3:16" x14ac:dyDescent="0.3">
      <c r="C345" s="114"/>
      <c r="D345" s="233" t="s">
        <v>638</v>
      </c>
      <c r="E345" s="234" t="s">
        <v>0</v>
      </c>
      <c r="F345" s="235">
        <v>1</v>
      </c>
      <c r="G345" s="236">
        <v>2.15</v>
      </c>
      <c r="H345" s="236">
        <v>0.35</v>
      </c>
      <c r="I345" s="236"/>
      <c r="J345" s="235">
        <v>1</v>
      </c>
      <c r="K345" s="237"/>
      <c r="L345" s="237">
        <f t="shared" si="23"/>
        <v>0.75249999999999995</v>
      </c>
      <c r="M345" s="111"/>
      <c r="N345" s="111"/>
      <c r="O345" s="111"/>
      <c r="P345" s="111"/>
    </row>
    <row r="346" spans="3:16" x14ac:dyDescent="0.3">
      <c r="C346" s="114"/>
      <c r="D346" s="233" t="s">
        <v>639</v>
      </c>
      <c r="E346" s="234" t="s">
        <v>0</v>
      </c>
      <c r="F346" s="235">
        <v>1</v>
      </c>
      <c r="G346" s="236">
        <v>2.15</v>
      </c>
      <c r="H346" s="236">
        <v>0.35</v>
      </c>
      <c r="I346" s="236"/>
      <c r="J346" s="235">
        <v>1</v>
      </c>
      <c r="K346" s="237"/>
      <c r="L346" s="237">
        <f t="shared" si="23"/>
        <v>0.75249999999999995</v>
      </c>
      <c r="M346" s="111"/>
      <c r="N346" s="111"/>
      <c r="O346" s="111"/>
      <c r="P346" s="111"/>
    </row>
    <row r="347" spans="3:16" x14ac:dyDescent="0.3">
      <c r="C347" s="114"/>
      <c r="D347" s="233" t="s">
        <v>580</v>
      </c>
      <c r="E347" s="234" t="s">
        <v>0</v>
      </c>
      <c r="F347" s="235">
        <v>1</v>
      </c>
      <c r="G347" s="236">
        <v>3.38</v>
      </c>
      <c r="H347" s="236">
        <v>0.2</v>
      </c>
      <c r="I347" s="236">
        <v>0.25</v>
      </c>
      <c r="J347" s="235">
        <v>1</v>
      </c>
      <c r="K347" s="237"/>
      <c r="L347" s="237">
        <f>((I347)+H347)*F347*G347*J347</f>
        <v>1.5209999999999999</v>
      </c>
      <c r="M347" s="111"/>
      <c r="N347" s="111"/>
      <c r="O347" s="111"/>
      <c r="P347" s="111"/>
    </row>
    <row r="348" spans="3:16" x14ac:dyDescent="0.3">
      <c r="C348" s="114"/>
      <c r="D348" s="233" t="s">
        <v>581</v>
      </c>
      <c r="E348" s="234" t="s">
        <v>0</v>
      </c>
      <c r="F348" s="235">
        <v>1</v>
      </c>
      <c r="G348" s="236">
        <v>3.4</v>
      </c>
      <c r="H348" s="236">
        <v>0.2</v>
      </c>
      <c r="I348" s="236">
        <v>0.1</v>
      </c>
      <c r="J348" s="235">
        <v>1</v>
      </c>
      <c r="K348" s="237"/>
      <c r="L348" s="237">
        <f t="shared" ref="L348:L353" si="24">((I348)+H348)*F348*G348*J348</f>
        <v>1.02</v>
      </c>
      <c r="M348" s="111"/>
      <c r="N348" s="111"/>
      <c r="O348" s="111"/>
      <c r="P348" s="111"/>
    </row>
    <row r="349" spans="3:16" x14ac:dyDescent="0.3">
      <c r="C349" s="114"/>
      <c r="D349" s="233" t="s">
        <v>582</v>
      </c>
      <c r="E349" s="234" t="s">
        <v>0</v>
      </c>
      <c r="F349" s="235">
        <v>1</v>
      </c>
      <c r="G349" s="236">
        <v>3.4</v>
      </c>
      <c r="H349" s="236">
        <v>0.2</v>
      </c>
      <c r="I349" s="236">
        <v>0.1</v>
      </c>
      <c r="J349" s="235">
        <v>1</v>
      </c>
      <c r="K349" s="237"/>
      <c r="L349" s="237">
        <f t="shared" si="24"/>
        <v>1.02</v>
      </c>
      <c r="M349" s="111"/>
      <c r="N349" s="111"/>
      <c r="O349" s="111"/>
      <c r="P349" s="111"/>
    </row>
    <row r="350" spans="3:16" x14ac:dyDescent="0.3">
      <c r="C350" s="114"/>
      <c r="D350" s="233" t="s">
        <v>589</v>
      </c>
      <c r="E350" s="234" t="s">
        <v>0</v>
      </c>
      <c r="F350" s="235">
        <v>1</v>
      </c>
      <c r="G350" s="236">
        <v>3.4</v>
      </c>
      <c r="H350" s="236">
        <v>0.2</v>
      </c>
      <c r="I350" s="236">
        <v>0.1</v>
      </c>
      <c r="J350" s="235">
        <v>1</v>
      </c>
      <c r="K350" s="237"/>
      <c r="L350" s="237">
        <f t="shared" si="24"/>
        <v>1.02</v>
      </c>
      <c r="M350" s="111"/>
      <c r="N350" s="111"/>
      <c r="O350" s="111"/>
      <c r="P350" s="111"/>
    </row>
    <row r="351" spans="3:16" x14ac:dyDescent="0.3">
      <c r="C351" s="114"/>
      <c r="D351" s="233" t="s">
        <v>585</v>
      </c>
      <c r="E351" s="234" t="s">
        <v>0</v>
      </c>
      <c r="F351" s="235">
        <v>1</v>
      </c>
      <c r="G351" s="236">
        <v>3.4</v>
      </c>
      <c r="H351" s="236">
        <v>0.2</v>
      </c>
      <c r="I351" s="236">
        <v>0.1</v>
      </c>
      <c r="J351" s="235">
        <v>1</v>
      </c>
      <c r="K351" s="237"/>
      <c r="L351" s="237">
        <f t="shared" si="24"/>
        <v>1.02</v>
      </c>
      <c r="M351" s="111"/>
      <c r="N351" s="111"/>
      <c r="O351" s="111"/>
      <c r="P351" s="111"/>
    </row>
    <row r="352" spans="3:16" x14ac:dyDescent="0.3">
      <c r="C352" s="114"/>
      <c r="D352" s="233" t="s">
        <v>586</v>
      </c>
      <c r="E352" s="234" t="s">
        <v>0</v>
      </c>
      <c r="F352" s="235">
        <v>1</v>
      </c>
      <c r="G352" s="236">
        <v>3.4</v>
      </c>
      <c r="H352" s="236">
        <v>0.2</v>
      </c>
      <c r="I352" s="236">
        <v>0.1</v>
      </c>
      <c r="J352" s="235">
        <v>1</v>
      </c>
      <c r="K352" s="237"/>
      <c r="L352" s="237">
        <f t="shared" si="24"/>
        <v>1.02</v>
      </c>
      <c r="M352" s="111"/>
      <c r="N352" s="111"/>
      <c r="O352" s="111"/>
      <c r="P352" s="111"/>
    </row>
    <row r="353" spans="3:16" x14ac:dyDescent="0.3">
      <c r="C353" s="114"/>
      <c r="D353" s="233" t="s">
        <v>591</v>
      </c>
      <c r="E353" s="234" t="s">
        <v>0</v>
      </c>
      <c r="F353" s="235">
        <v>1</v>
      </c>
      <c r="G353" s="236">
        <v>3.37</v>
      </c>
      <c r="H353" s="236">
        <v>0.2</v>
      </c>
      <c r="I353" s="236">
        <v>0.25</v>
      </c>
      <c r="J353" s="235">
        <v>1</v>
      </c>
      <c r="K353" s="237"/>
      <c r="L353" s="237">
        <f t="shared" si="24"/>
        <v>1.5165000000000002</v>
      </c>
      <c r="M353" s="111"/>
      <c r="N353" s="111"/>
      <c r="O353" s="111"/>
      <c r="P353" s="111"/>
    </row>
    <row r="354" spans="3:16" x14ac:dyDescent="0.3">
      <c r="C354" s="114"/>
      <c r="D354" s="233" t="s">
        <v>573</v>
      </c>
      <c r="E354" s="234" t="s">
        <v>0</v>
      </c>
      <c r="F354" s="235">
        <v>1</v>
      </c>
      <c r="G354" s="236">
        <v>3.38</v>
      </c>
      <c r="H354" s="268">
        <v>0.45</v>
      </c>
      <c r="I354" s="236"/>
      <c r="J354" s="235">
        <v>1</v>
      </c>
      <c r="K354" s="237"/>
      <c r="L354" s="237">
        <f>((I354)+H354)*F354*G354*J354</f>
        <v>1.5209999999999999</v>
      </c>
      <c r="M354" s="111"/>
      <c r="N354" s="111"/>
      <c r="O354" s="111"/>
      <c r="P354" s="111"/>
    </row>
    <row r="355" spans="3:16" x14ac:dyDescent="0.3">
      <c r="C355" s="114"/>
      <c r="D355" s="233" t="s">
        <v>574</v>
      </c>
      <c r="E355" s="234" t="s">
        <v>0</v>
      </c>
      <c r="F355" s="235">
        <v>1</v>
      </c>
      <c r="G355" s="236">
        <v>3.4</v>
      </c>
      <c r="H355" s="268">
        <v>0.45</v>
      </c>
      <c r="I355" s="236"/>
      <c r="J355" s="235">
        <v>1</v>
      </c>
      <c r="K355" s="237"/>
      <c r="L355" s="237">
        <f t="shared" ref="L355:L377" si="25">((I355)+H355)*F355*G355*J355</f>
        <v>1.53</v>
      </c>
      <c r="M355" s="111"/>
      <c r="N355" s="111"/>
      <c r="O355" s="111"/>
      <c r="P355" s="111"/>
    </row>
    <row r="356" spans="3:16" x14ac:dyDescent="0.3">
      <c r="C356" s="114"/>
      <c r="D356" s="233" t="s">
        <v>575</v>
      </c>
      <c r="E356" s="234" t="s">
        <v>0</v>
      </c>
      <c r="F356" s="235">
        <v>1</v>
      </c>
      <c r="G356" s="236">
        <v>3.4</v>
      </c>
      <c r="H356" s="268">
        <v>0.45</v>
      </c>
      <c r="I356" s="236"/>
      <c r="J356" s="235">
        <v>1</v>
      </c>
      <c r="K356" s="237"/>
      <c r="L356" s="237">
        <f t="shared" si="25"/>
        <v>1.53</v>
      </c>
      <c r="M356" s="111"/>
      <c r="N356" s="111"/>
      <c r="O356" s="111"/>
      <c r="P356" s="111"/>
    </row>
    <row r="357" spans="3:16" x14ac:dyDescent="0.3">
      <c r="C357" s="114"/>
      <c r="D357" s="233" t="s">
        <v>621</v>
      </c>
      <c r="E357" s="234" t="s">
        <v>0</v>
      </c>
      <c r="F357" s="235">
        <v>1</v>
      </c>
      <c r="G357" s="236">
        <v>3.4</v>
      </c>
      <c r="H357" s="268">
        <v>0.45</v>
      </c>
      <c r="I357" s="236"/>
      <c r="J357" s="235">
        <v>1</v>
      </c>
      <c r="K357" s="237"/>
      <c r="L357" s="237">
        <f t="shared" si="25"/>
        <v>1.53</v>
      </c>
      <c r="M357" s="111"/>
      <c r="N357" s="111"/>
      <c r="O357" s="111"/>
      <c r="P357" s="111"/>
    </row>
    <row r="358" spans="3:16" x14ac:dyDescent="0.3">
      <c r="C358" s="114"/>
      <c r="D358" s="233" t="s">
        <v>576</v>
      </c>
      <c r="E358" s="234" t="s">
        <v>0</v>
      </c>
      <c r="F358" s="235">
        <v>1</v>
      </c>
      <c r="G358" s="236">
        <v>3.4</v>
      </c>
      <c r="H358" s="268">
        <v>0.45</v>
      </c>
      <c r="I358" s="236"/>
      <c r="J358" s="235">
        <v>1</v>
      </c>
      <c r="K358" s="237"/>
      <c r="L358" s="237">
        <f t="shared" si="25"/>
        <v>1.53</v>
      </c>
      <c r="M358" s="111"/>
      <c r="N358" s="111"/>
      <c r="O358" s="111"/>
      <c r="P358" s="111"/>
    </row>
    <row r="359" spans="3:16" x14ac:dyDescent="0.3">
      <c r="C359" s="114"/>
      <c r="D359" s="233" t="s">
        <v>622</v>
      </c>
      <c r="E359" s="234" t="s">
        <v>0</v>
      </c>
      <c r="F359" s="235">
        <v>1</v>
      </c>
      <c r="G359" s="236">
        <v>3.4</v>
      </c>
      <c r="H359" s="268">
        <v>0.45</v>
      </c>
      <c r="I359" s="236"/>
      <c r="J359" s="235">
        <v>1</v>
      </c>
      <c r="K359" s="237"/>
      <c r="L359" s="237">
        <f t="shared" si="25"/>
        <v>1.53</v>
      </c>
      <c r="M359" s="111"/>
      <c r="N359" s="111"/>
      <c r="O359" s="111"/>
      <c r="P359" s="111"/>
    </row>
    <row r="360" spans="3:16" x14ac:dyDescent="0.3">
      <c r="C360" s="114"/>
      <c r="D360" s="233" t="s">
        <v>577</v>
      </c>
      <c r="E360" s="234" t="s">
        <v>0</v>
      </c>
      <c r="F360" s="235">
        <v>1</v>
      </c>
      <c r="G360" s="236">
        <v>3.37</v>
      </c>
      <c r="H360" s="268">
        <v>0.45</v>
      </c>
      <c r="I360" s="236"/>
      <c r="J360" s="235">
        <v>1</v>
      </c>
      <c r="K360" s="237"/>
      <c r="L360" s="237">
        <f t="shared" si="25"/>
        <v>1.5165000000000002</v>
      </c>
      <c r="M360" s="111"/>
      <c r="N360" s="111"/>
      <c r="O360" s="111"/>
      <c r="P360" s="111"/>
    </row>
    <row r="361" spans="3:16" x14ac:dyDescent="0.3">
      <c r="C361" s="114"/>
      <c r="D361" s="233" t="s">
        <v>640</v>
      </c>
      <c r="E361" s="234" t="s">
        <v>0</v>
      </c>
      <c r="F361" s="235">
        <v>1</v>
      </c>
      <c r="G361" s="236">
        <v>1.8</v>
      </c>
      <c r="H361" s="236">
        <v>0.3</v>
      </c>
      <c r="I361" s="236"/>
      <c r="J361" s="235">
        <v>1</v>
      </c>
      <c r="K361" s="237"/>
      <c r="L361" s="237">
        <f t="shared" si="25"/>
        <v>0.54</v>
      </c>
      <c r="M361" s="111"/>
      <c r="N361" s="111"/>
      <c r="O361" s="111"/>
      <c r="P361" s="111"/>
    </row>
    <row r="362" spans="3:16" x14ac:dyDescent="0.3">
      <c r="C362" s="114"/>
      <c r="D362" s="233" t="s">
        <v>579</v>
      </c>
      <c r="E362" s="234" t="s">
        <v>0</v>
      </c>
      <c r="F362" s="235">
        <v>1</v>
      </c>
      <c r="G362" s="236">
        <v>4.8</v>
      </c>
      <c r="H362" s="236">
        <v>0</v>
      </c>
      <c r="I362" s="236">
        <v>0.35</v>
      </c>
      <c r="J362" s="235">
        <v>1</v>
      </c>
      <c r="K362" s="237"/>
      <c r="L362" s="237">
        <f t="shared" si="25"/>
        <v>1.68</v>
      </c>
      <c r="M362" s="111"/>
      <c r="N362" s="111"/>
      <c r="O362" s="111"/>
      <c r="P362" s="111"/>
    </row>
    <row r="363" spans="3:16" x14ac:dyDescent="0.3">
      <c r="C363" s="114"/>
      <c r="D363" s="233" t="s">
        <v>641</v>
      </c>
      <c r="E363" s="234" t="s">
        <v>0</v>
      </c>
      <c r="F363" s="235">
        <v>1</v>
      </c>
      <c r="G363" s="236">
        <v>1.8</v>
      </c>
      <c r="H363" s="236">
        <v>0.3</v>
      </c>
      <c r="I363" s="236">
        <v>0</v>
      </c>
      <c r="J363" s="235">
        <v>1</v>
      </c>
      <c r="K363" s="237"/>
      <c r="L363" s="237">
        <f t="shared" si="25"/>
        <v>0.54</v>
      </c>
      <c r="M363" s="111"/>
      <c r="N363" s="111"/>
      <c r="O363" s="111"/>
      <c r="P363" s="111"/>
    </row>
    <row r="364" spans="3:16" x14ac:dyDescent="0.3">
      <c r="C364" s="114"/>
      <c r="D364" s="233" t="s">
        <v>561</v>
      </c>
      <c r="E364" s="234" t="s">
        <v>0</v>
      </c>
      <c r="F364" s="235">
        <v>1</v>
      </c>
      <c r="G364" s="236">
        <v>4.8</v>
      </c>
      <c r="H364" s="236">
        <v>0.3</v>
      </c>
      <c r="I364" s="236">
        <f>0.35+0.2</f>
        <v>0.55000000000000004</v>
      </c>
      <c r="J364" s="235">
        <v>1</v>
      </c>
      <c r="K364" s="237"/>
      <c r="L364" s="237">
        <f t="shared" si="25"/>
        <v>4.08</v>
      </c>
      <c r="M364" s="111"/>
      <c r="N364" s="111"/>
      <c r="O364" s="111"/>
      <c r="P364" s="111"/>
    </row>
    <row r="365" spans="3:16" x14ac:dyDescent="0.3">
      <c r="C365" s="114"/>
      <c r="D365" s="233" t="s">
        <v>642</v>
      </c>
      <c r="E365" s="234" t="s">
        <v>0</v>
      </c>
      <c r="F365" s="235">
        <v>1</v>
      </c>
      <c r="G365" s="236">
        <v>1.8</v>
      </c>
      <c r="H365" s="236">
        <v>0.3</v>
      </c>
      <c r="I365" s="236">
        <v>0</v>
      </c>
      <c r="J365" s="235">
        <v>1</v>
      </c>
      <c r="K365" s="237"/>
      <c r="L365" s="237">
        <f t="shared" si="25"/>
        <v>0.54</v>
      </c>
      <c r="M365" s="111"/>
      <c r="N365" s="111"/>
      <c r="O365" s="111"/>
      <c r="P365" s="111"/>
    </row>
    <row r="366" spans="3:16" x14ac:dyDescent="0.3">
      <c r="C366" s="114"/>
      <c r="D366" s="233" t="s">
        <v>562</v>
      </c>
      <c r="E366" s="234" t="s">
        <v>0</v>
      </c>
      <c r="F366" s="235">
        <v>1</v>
      </c>
      <c r="G366" s="236">
        <v>4.8</v>
      </c>
      <c r="H366" s="236">
        <v>0.3</v>
      </c>
      <c r="I366" s="236">
        <f>0.2*2</f>
        <v>0.4</v>
      </c>
      <c r="J366" s="235">
        <v>1</v>
      </c>
      <c r="K366" s="237"/>
      <c r="L366" s="237">
        <f t="shared" si="25"/>
        <v>3.36</v>
      </c>
      <c r="M366" s="111"/>
      <c r="N366" s="111"/>
      <c r="O366" s="111"/>
      <c r="P366" s="111"/>
    </row>
    <row r="367" spans="3:16" x14ac:dyDescent="0.3">
      <c r="C367" s="114"/>
      <c r="D367" s="233" t="s">
        <v>643</v>
      </c>
      <c r="E367" s="234" t="s">
        <v>0</v>
      </c>
      <c r="F367" s="235">
        <v>1</v>
      </c>
      <c r="G367" s="236">
        <v>1.8</v>
      </c>
      <c r="H367" s="236">
        <v>0.3</v>
      </c>
      <c r="I367" s="236">
        <v>0</v>
      </c>
      <c r="J367" s="235">
        <v>1</v>
      </c>
      <c r="K367" s="237"/>
      <c r="L367" s="237">
        <f t="shared" si="25"/>
        <v>0.54</v>
      </c>
      <c r="M367" s="111"/>
      <c r="N367" s="111"/>
      <c r="O367" s="111"/>
      <c r="P367" s="111"/>
    </row>
    <row r="368" spans="3:16" x14ac:dyDescent="0.3">
      <c r="C368" s="114"/>
      <c r="D368" s="233" t="s">
        <v>623</v>
      </c>
      <c r="E368" s="234" t="s">
        <v>0</v>
      </c>
      <c r="F368" s="235">
        <v>1</v>
      </c>
      <c r="G368" s="236">
        <v>4.8</v>
      </c>
      <c r="H368" s="236">
        <v>0.3</v>
      </c>
      <c r="I368" s="236">
        <f>0.2*2</f>
        <v>0.4</v>
      </c>
      <c r="J368" s="235">
        <v>1</v>
      </c>
      <c r="K368" s="237"/>
      <c r="L368" s="237">
        <f t="shared" si="25"/>
        <v>3.36</v>
      </c>
      <c r="M368" s="111"/>
      <c r="N368" s="111"/>
      <c r="O368" s="111"/>
      <c r="P368" s="111"/>
    </row>
    <row r="369" spans="3:16" x14ac:dyDescent="0.3">
      <c r="C369" s="114"/>
      <c r="D369" s="233" t="s">
        <v>650</v>
      </c>
      <c r="E369" s="234" t="s">
        <v>0</v>
      </c>
      <c r="F369" s="235">
        <v>1</v>
      </c>
      <c r="G369" s="236">
        <v>1.8</v>
      </c>
      <c r="H369" s="236">
        <v>0.3</v>
      </c>
      <c r="I369" s="236">
        <v>0</v>
      </c>
      <c r="J369" s="235">
        <v>1</v>
      </c>
      <c r="K369" s="237"/>
      <c r="L369" s="237">
        <f t="shared" si="25"/>
        <v>0.54</v>
      </c>
      <c r="M369" s="111"/>
      <c r="N369" s="111"/>
      <c r="O369" s="111"/>
      <c r="P369" s="111"/>
    </row>
    <row r="370" spans="3:16" x14ac:dyDescent="0.3">
      <c r="C370" s="114"/>
      <c r="D370" s="233" t="s">
        <v>590</v>
      </c>
      <c r="E370" s="234" t="s">
        <v>0</v>
      </c>
      <c r="F370" s="235">
        <v>1</v>
      </c>
      <c r="G370" s="236">
        <v>4.8</v>
      </c>
      <c r="H370" s="236">
        <v>0.3</v>
      </c>
      <c r="I370" s="236">
        <f>0.2*2</f>
        <v>0.4</v>
      </c>
      <c r="J370" s="235">
        <v>1</v>
      </c>
      <c r="K370" s="237"/>
      <c r="L370" s="237">
        <f t="shared" si="25"/>
        <v>3.36</v>
      </c>
      <c r="M370" s="111"/>
      <c r="N370" s="111"/>
      <c r="O370" s="111"/>
      <c r="P370" s="111"/>
    </row>
    <row r="371" spans="3:16" x14ac:dyDescent="0.3">
      <c r="C371" s="114"/>
      <c r="D371" s="233" t="s">
        <v>645</v>
      </c>
      <c r="E371" s="234" t="s">
        <v>0</v>
      </c>
      <c r="F371" s="235">
        <v>1</v>
      </c>
      <c r="G371" s="236">
        <v>1.8</v>
      </c>
      <c r="H371" s="236">
        <v>0.3</v>
      </c>
      <c r="I371" s="236">
        <v>0.3</v>
      </c>
      <c r="J371" s="235">
        <v>1</v>
      </c>
      <c r="K371" s="237"/>
      <c r="L371" s="237">
        <f t="shared" si="25"/>
        <v>1.08</v>
      </c>
      <c r="M371" s="111"/>
      <c r="N371" s="111"/>
      <c r="O371" s="111"/>
      <c r="P371" s="111"/>
    </row>
    <row r="372" spans="3:16" x14ac:dyDescent="0.3">
      <c r="C372" s="114"/>
      <c r="D372" s="233" t="s">
        <v>624</v>
      </c>
      <c r="E372" s="234" t="s">
        <v>0</v>
      </c>
      <c r="F372" s="235">
        <v>1</v>
      </c>
      <c r="G372" s="236">
        <v>4.8</v>
      </c>
      <c r="H372" s="236">
        <v>0.3</v>
      </c>
      <c r="I372" s="236">
        <f>0.2*2</f>
        <v>0.4</v>
      </c>
      <c r="J372" s="235">
        <v>1</v>
      </c>
      <c r="K372" s="237"/>
      <c r="L372" s="237">
        <f t="shared" si="25"/>
        <v>3.36</v>
      </c>
      <c r="M372" s="111"/>
      <c r="N372" s="111"/>
      <c r="O372" s="111"/>
      <c r="P372" s="111"/>
    </row>
    <row r="373" spans="3:16" x14ac:dyDescent="0.3">
      <c r="C373" s="114"/>
      <c r="D373" s="233" t="s">
        <v>651</v>
      </c>
      <c r="E373" s="234" t="s">
        <v>0</v>
      </c>
      <c r="F373" s="235">
        <v>1</v>
      </c>
      <c r="G373" s="236">
        <v>1.8</v>
      </c>
      <c r="H373" s="236">
        <v>0.3</v>
      </c>
      <c r="I373" s="236">
        <v>0</v>
      </c>
      <c r="J373" s="235">
        <v>1</v>
      </c>
      <c r="K373" s="237"/>
      <c r="L373" s="237">
        <f t="shared" si="25"/>
        <v>0.54</v>
      </c>
      <c r="M373" s="111"/>
      <c r="N373" s="111"/>
      <c r="O373" s="111"/>
      <c r="P373" s="111"/>
    </row>
    <row r="374" spans="3:16" x14ac:dyDescent="0.3">
      <c r="C374" s="114"/>
      <c r="D374" s="233" t="s">
        <v>565</v>
      </c>
      <c r="E374" s="234" t="s">
        <v>0</v>
      </c>
      <c r="F374" s="235">
        <v>1</v>
      </c>
      <c r="G374" s="236">
        <v>4.8</v>
      </c>
      <c r="H374" s="236">
        <v>0.3</v>
      </c>
      <c r="I374" s="236">
        <f>0.35+0.2</f>
        <v>0.55000000000000004</v>
      </c>
      <c r="J374" s="235">
        <v>1</v>
      </c>
      <c r="K374" s="237"/>
      <c r="L374" s="237">
        <f t="shared" si="25"/>
        <v>4.08</v>
      </c>
      <c r="M374" s="111"/>
      <c r="N374" s="111"/>
      <c r="O374" s="111"/>
      <c r="P374" s="111"/>
    </row>
    <row r="375" spans="3:16" x14ac:dyDescent="0.3">
      <c r="C375" s="114"/>
      <c r="D375" s="233" t="s">
        <v>652</v>
      </c>
      <c r="E375" s="234" t="s">
        <v>0</v>
      </c>
      <c r="F375" s="235">
        <v>1</v>
      </c>
      <c r="G375" s="236">
        <v>1.8</v>
      </c>
      <c r="H375" s="236">
        <v>0.3</v>
      </c>
      <c r="I375" s="236"/>
      <c r="J375" s="235">
        <v>1</v>
      </c>
      <c r="K375" s="237"/>
      <c r="L375" s="237">
        <f t="shared" si="25"/>
        <v>0.54</v>
      </c>
      <c r="M375" s="111"/>
      <c r="N375" s="111"/>
      <c r="O375" s="111"/>
      <c r="P375" s="111"/>
    </row>
    <row r="376" spans="3:16" x14ac:dyDescent="0.3">
      <c r="C376" s="114"/>
      <c r="D376" s="233" t="s">
        <v>238</v>
      </c>
      <c r="E376" s="234" t="s">
        <v>0</v>
      </c>
      <c r="F376" s="235">
        <v>21</v>
      </c>
      <c r="G376" s="236">
        <v>0.8</v>
      </c>
      <c r="H376" s="236">
        <v>0.15</v>
      </c>
      <c r="I376" s="236">
        <v>0</v>
      </c>
      <c r="J376" s="235">
        <v>1</v>
      </c>
      <c r="K376" s="237"/>
      <c r="L376" s="237">
        <f t="shared" si="25"/>
        <v>2.52</v>
      </c>
      <c r="M376" s="111"/>
      <c r="N376" s="111"/>
      <c r="O376" s="111"/>
      <c r="P376" s="111"/>
    </row>
    <row r="377" spans="3:16" x14ac:dyDescent="0.3">
      <c r="C377" s="114"/>
      <c r="D377" s="233" t="s">
        <v>239</v>
      </c>
      <c r="E377" s="234" t="s">
        <v>0</v>
      </c>
      <c r="F377" s="235">
        <v>21</v>
      </c>
      <c r="G377" s="236">
        <v>0.5</v>
      </c>
      <c r="H377" s="236">
        <v>0.1</v>
      </c>
      <c r="I377" s="236">
        <v>0</v>
      </c>
      <c r="J377" s="235">
        <v>1</v>
      </c>
      <c r="K377" s="237"/>
      <c r="L377" s="237">
        <f t="shared" si="25"/>
        <v>1.05</v>
      </c>
      <c r="M377" s="111"/>
      <c r="N377" s="111"/>
      <c r="O377" s="111"/>
      <c r="P377" s="111"/>
    </row>
    <row r="378" spans="3:16" ht="14.4" x14ac:dyDescent="0.3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3:16" x14ac:dyDescent="0.3">
      <c r="C379" s="99" t="s">
        <v>1184</v>
      </c>
      <c r="D379" s="226" t="s">
        <v>420</v>
      </c>
      <c r="E379" s="132" t="s">
        <v>0</v>
      </c>
      <c r="F379" s="1"/>
      <c r="G379" s="2"/>
      <c r="H379" s="2"/>
      <c r="I379" s="2"/>
      <c r="J379" s="3"/>
      <c r="K379" s="103"/>
      <c r="L379" s="103"/>
      <c r="M379" s="103"/>
      <c r="N379" s="103"/>
      <c r="O379" s="103"/>
      <c r="P379" s="103">
        <f>SUM(L379:L429)</f>
        <v>102.50099999999999</v>
      </c>
    </row>
    <row r="380" spans="3:16" x14ac:dyDescent="0.3">
      <c r="C380" s="118"/>
      <c r="D380" s="252" t="s">
        <v>654</v>
      </c>
      <c r="E380" s="101"/>
      <c r="F380" s="1"/>
      <c r="G380" s="2"/>
      <c r="H380" s="2"/>
      <c r="I380" s="2"/>
      <c r="J380" s="3"/>
      <c r="K380" s="113"/>
      <c r="L380" s="113"/>
      <c r="M380" s="113"/>
      <c r="N380" s="113"/>
      <c r="O380" s="113"/>
      <c r="P380" s="113"/>
    </row>
    <row r="381" spans="3:16" x14ac:dyDescent="0.3">
      <c r="C381" s="118"/>
      <c r="D381" s="257" t="s">
        <v>123</v>
      </c>
      <c r="E381" s="254"/>
      <c r="F381" s="255"/>
      <c r="G381" s="256"/>
      <c r="H381" s="256"/>
      <c r="I381" s="256"/>
      <c r="J381" s="229"/>
      <c r="K381" s="231"/>
      <c r="L381" s="231"/>
      <c r="M381" s="113"/>
      <c r="N381" s="113"/>
      <c r="O381" s="113"/>
      <c r="P381" s="113"/>
    </row>
    <row r="382" spans="3:16" x14ac:dyDescent="0.3">
      <c r="C382" s="118"/>
      <c r="D382" s="276" t="s">
        <v>266</v>
      </c>
      <c r="E382" s="254"/>
      <c r="F382" s="255"/>
      <c r="G382" s="256"/>
      <c r="H382" s="256"/>
      <c r="I382" s="256"/>
      <c r="J382" s="229"/>
      <c r="K382" s="231"/>
      <c r="L382" s="231"/>
      <c r="M382" s="113"/>
      <c r="N382" s="113"/>
      <c r="O382" s="113"/>
      <c r="P382" s="113"/>
    </row>
    <row r="383" spans="3:16" x14ac:dyDescent="0.3">
      <c r="C383" s="114"/>
      <c r="D383" s="233" t="s">
        <v>655</v>
      </c>
      <c r="E383" s="239" t="s">
        <v>0</v>
      </c>
      <c r="F383" s="235">
        <v>1</v>
      </c>
      <c r="G383" s="236">
        <v>0.15</v>
      </c>
      <c r="H383" s="236">
        <v>2</v>
      </c>
      <c r="I383" s="236">
        <v>0.75</v>
      </c>
      <c r="J383" s="235">
        <v>1</v>
      </c>
      <c r="K383" s="237"/>
      <c r="L383" s="237">
        <f>((H383+I383)*2)*F383*G383*J383</f>
        <v>0.82499999999999996</v>
      </c>
      <c r="M383" s="111"/>
      <c r="N383" s="111"/>
      <c r="O383" s="111"/>
      <c r="P383" s="111"/>
    </row>
    <row r="384" spans="3:16" x14ac:dyDescent="0.3">
      <c r="C384" s="118"/>
      <c r="D384" s="276" t="s">
        <v>129</v>
      </c>
      <c r="E384" s="254"/>
      <c r="F384" s="255"/>
      <c r="G384" s="256"/>
      <c r="H384" s="256"/>
      <c r="I384" s="256"/>
      <c r="J384" s="229"/>
      <c r="K384" s="231"/>
      <c r="L384" s="231"/>
      <c r="M384" s="113"/>
      <c r="N384" s="113"/>
      <c r="O384" s="113"/>
      <c r="P384" s="113"/>
    </row>
    <row r="385" spans="3:16" x14ac:dyDescent="0.3">
      <c r="C385" s="114"/>
      <c r="D385" s="233" t="s">
        <v>656</v>
      </c>
      <c r="E385" s="239" t="s">
        <v>0</v>
      </c>
      <c r="F385" s="235">
        <v>2</v>
      </c>
      <c r="G385" s="236">
        <v>0.15</v>
      </c>
      <c r="H385" s="268">
        <v>0.9</v>
      </c>
      <c r="I385" s="268">
        <v>2.9</v>
      </c>
      <c r="J385" s="235">
        <v>1</v>
      </c>
      <c r="K385" s="237"/>
      <c r="L385" s="237">
        <f>((H385+I385)*2)*F385*G385*J385</f>
        <v>2.2799999999999998</v>
      </c>
      <c r="M385" s="111"/>
      <c r="N385" s="111"/>
      <c r="O385" s="111"/>
      <c r="P385" s="111"/>
    </row>
    <row r="386" spans="3:16" x14ac:dyDescent="0.3">
      <c r="C386" s="114"/>
      <c r="D386" s="233" t="s">
        <v>657</v>
      </c>
      <c r="E386" s="239" t="s">
        <v>0</v>
      </c>
      <c r="F386" s="235">
        <v>1</v>
      </c>
      <c r="G386" s="236">
        <v>0.15</v>
      </c>
      <c r="H386" s="268">
        <v>1.1499999999999999</v>
      </c>
      <c r="I386" s="268">
        <v>2.9</v>
      </c>
      <c r="J386" s="235">
        <v>1</v>
      </c>
      <c r="K386" s="237"/>
      <c r="L386" s="237">
        <f>((H386+I386)*2)*F386*G386*J386</f>
        <v>1.2149999999999999</v>
      </c>
      <c r="M386" s="111"/>
      <c r="N386" s="111"/>
      <c r="O386" s="111"/>
      <c r="P386" s="111"/>
    </row>
    <row r="387" spans="3:16" x14ac:dyDescent="0.3">
      <c r="C387" s="118"/>
      <c r="D387" s="257" t="s">
        <v>127</v>
      </c>
      <c r="E387" s="254"/>
      <c r="F387" s="255"/>
      <c r="G387" s="236"/>
      <c r="H387" s="283"/>
      <c r="I387" s="283"/>
      <c r="J387" s="229"/>
      <c r="K387" s="231"/>
      <c r="L387" s="231"/>
      <c r="M387" s="113"/>
      <c r="N387" s="113"/>
      <c r="O387" s="113"/>
      <c r="P387" s="113"/>
    </row>
    <row r="388" spans="3:16" x14ac:dyDescent="0.3">
      <c r="C388" s="118"/>
      <c r="D388" s="276" t="s">
        <v>266</v>
      </c>
      <c r="E388" s="254"/>
      <c r="F388" s="255"/>
      <c r="G388" s="256"/>
      <c r="H388" s="283"/>
      <c r="I388" s="283"/>
      <c r="J388" s="229"/>
      <c r="K388" s="231"/>
      <c r="L388" s="231"/>
      <c r="M388" s="113"/>
      <c r="N388" s="113"/>
      <c r="O388" s="113"/>
      <c r="P388" s="113"/>
    </row>
    <row r="389" spans="3:16" x14ac:dyDescent="0.3">
      <c r="C389" s="114"/>
      <c r="D389" s="233" t="s">
        <v>658</v>
      </c>
      <c r="E389" s="239" t="s">
        <v>0</v>
      </c>
      <c r="F389" s="235">
        <v>1</v>
      </c>
      <c r="G389" s="236">
        <v>0.15</v>
      </c>
      <c r="H389" s="268">
        <v>1</v>
      </c>
      <c r="I389" s="268">
        <v>2</v>
      </c>
      <c r="J389" s="235">
        <v>1</v>
      </c>
      <c r="K389" s="237"/>
      <c r="L389" s="237">
        <f>((H389+I389)*2)*F389*G389*J389</f>
        <v>0.89999999999999991</v>
      </c>
      <c r="M389" s="111"/>
      <c r="N389" s="111"/>
      <c r="O389" s="111"/>
      <c r="P389" s="111"/>
    </row>
    <row r="390" spans="3:16" x14ac:dyDescent="0.3">
      <c r="C390" s="118"/>
      <c r="D390" s="276" t="s">
        <v>129</v>
      </c>
      <c r="E390" s="254"/>
      <c r="F390" s="255"/>
      <c r="G390" s="256"/>
      <c r="H390" s="283"/>
      <c r="I390" s="283"/>
      <c r="J390" s="229"/>
      <c r="K390" s="231"/>
      <c r="L390" s="231"/>
      <c r="M390" s="113"/>
      <c r="N390" s="113"/>
      <c r="O390" s="113"/>
      <c r="P390" s="113"/>
    </row>
    <row r="391" spans="3:16" x14ac:dyDescent="0.3">
      <c r="C391" s="114"/>
      <c r="D391" s="233" t="s">
        <v>659</v>
      </c>
      <c r="E391" s="239" t="s">
        <v>0</v>
      </c>
      <c r="F391" s="235">
        <v>1</v>
      </c>
      <c r="G391" s="236">
        <v>0.15</v>
      </c>
      <c r="H391" s="268">
        <v>1</v>
      </c>
      <c r="I391" s="268">
        <v>3.02</v>
      </c>
      <c r="J391" s="235">
        <v>1</v>
      </c>
      <c r="K391" s="237"/>
      <c r="L391" s="237">
        <f>((H391+I391)*2)*F391*G391*J391</f>
        <v>1.2059999999999997</v>
      </c>
      <c r="M391" s="111"/>
      <c r="N391" s="111"/>
      <c r="O391" s="111"/>
      <c r="P391" s="111"/>
    </row>
    <row r="392" spans="3:16" x14ac:dyDescent="0.3">
      <c r="C392" s="114"/>
      <c r="D392" s="233" t="s">
        <v>660</v>
      </c>
      <c r="E392" s="239" t="s">
        <v>0</v>
      </c>
      <c r="F392" s="235">
        <v>1</v>
      </c>
      <c r="G392" s="236">
        <v>0.15</v>
      </c>
      <c r="H392" s="268">
        <v>0.9</v>
      </c>
      <c r="I392" s="268">
        <v>2.2999999999999998</v>
      </c>
      <c r="J392" s="235">
        <v>1</v>
      </c>
      <c r="K392" s="237"/>
      <c r="L392" s="237">
        <f>((H392+I392)*2)*F392*G392*J392</f>
        <v>0.95999999999999985</v>
      </c>
      <c r="M392" s="111"/>
      <c r="N392" s="111"/>
      <c r="O392" s="111"/>
      <c r="P392" s="111"/>
    </row>
    <row r="393" spans="3:16" x14ac:dyDescent="0.3">
      <c r="C393" s="114"/>
      <c r="D393" s="233" t="s">
        <v>661</v>
      </c>
      <c r="E393" s="239" t="s">
        <v>0</v>
      </c>
      <c r="F393" s="235">
        <v>2</v>
      </c>
      <c r="G393" s="236">
        <v>0.15</v>
      </c>
      <c r="H393" s="268">
        <v>0.8</v>
      </c>
      <c r="I393" s="268">
        <v>2.2999999999999998</v>
      </c>
      <c r="J393" s="235">
        <v>1</v>
      </c>
      <c r="K393" s="237"/>
      <c r="L393" s="237">
        <f>((H393+I393)*2)*F393*G393*J393</f>
        <v>1.8599999999999997</v>
      </c>
      <c r="M393" s="111"/>
      <c r="N393" s="111"/>
      <c r="O393" s="111"/>
      <c r="P393" s="111"/>
    </row>
    <row r="394" spans="3:16" x14ac:dyDescent="0.3">
      <c r="C394" s="114"/>
      <c r="D394" s="233"/>
      <c r="E394" s="234"/>
      <c r="F394" s="235"/>
      <c r="G394" s="236"/>
      <c r="H394" s="268"/>
      <c r="I394" s="268"/>
      <c r="J394" s="235"/>
      <c r="K394" s="237"/>
      <c r="L394" s="237"/>
      <c r="M394" s="111"/>
      <c r="N394" s="111"/>
      <c r="O394" s="111"/>
      <c r="P394" s="111"/>
    </row>
    <row r="395" spans="3:16" x14ac:dyDescent="0.3">
      <c r="C395" s="118"/>
      <c r="D395" s="257" t="s">
        <v>662</v>
      </c>
      <c r="E395" s="254"/>
      <c r="F395" s="255"/>
      <c r="G395" s="256"/>
      <c r="H395" s="283"/>
      <c r="I395" s="283"/>
      <c r="J395" s="229"/>
      <c r="K395" s="231"/>
      <c r="L395" s="231"/>
      <c r="M395" s="113"/>
      <c r="N395" s="113"/>
      <c r="O395" s="113"/>
      <c r="P395" s="113"/>
    </row>
    <row r="396" spans="3:16" x14ac:dyDescent="0.3">
      <c r="C396" s="118"/>
      <c r="D396" s="257" t="s">
        <v>123</v>
      </c>
      <c r="E396" s="254"/>
      <c r="F396" s="255"/>
      <c r="G396" s="256"/>
      <c r="H396" s="256"/>
      <c r="I396" s="256"/>
      <c r="J396" s="229"/>
      <c r="K396" s="231"/>
      <c r="L396" s="231"/>
      <c r="M396" s="113"/>
      <c r="N396" s="113"/>
      <c r="O396" s="113"/>
      <c r="P396" s="113"/>
    </row>
    <row r="397" spans="3:16" x14ac:dyDescent="0.3">
      <c r="C397" s="118"/>
      <c r="D397" s="276" t="s">
        <v>266</v>
      </c>
      <c r="E397" s="254"/>
      <c r="F397" s="255"/>
      <c r="G397" s="256"/>
      <c r="H397" s="256"/>
      <c r="I397" s="256"/>
      <c r="J397" s="229"/>
      <c r="K397" s="231"/>
      <c r="L397" s="231"/>
      <c r="M397" s="113"/>
      <c r="N397" s="113"/>
      <c r="O397" s="113"/>
      <c r="P397" s="113"/>
    </row>
    <row r="398" spans="3:16" x14ac:dyDescent="0.3">
      <c r="C398" s="114"/>
      <c r="D398" s="233" t="s">
        <v>663</v>
      </c>
      <c r="E398" s="239" t="s">
        <v>0</v>
      </c>
      <c r="F398" s="235">
        <v>2</v>
      </c>
      <c r="G398" s="236">
        <v>0.15</v>
      </c>
      <c r="H398" s="236">
        <v>0.9</v>
      </c>
      <c r="I398" s="236">
        <v>1.25</v>
      </c>
      <c r="J398" s="235">
        <v>1</v>
      </c>
      <c r="K398" s="237"/>
      <c r="L398" s="237">
        <f>((H398+I398)*2)*F398*G398*J398</f>
        <v>1.2899999999999998</v>
      </c>
      <c r="M398" s="111"/>
      <c r="N398" s="111"/>
      <c r="O398" s="111"/>
      <c r="P398" s="111"/>
    </row>
    <row r="399" spans="3:16" x14ac:dyDescent="0.3">
      <c r="C399" s="114"/>
      <c r="D399" s="233" t="s">
        <v>664</v>
      </c>
      <c r="E399" s="239" t="s">
        <v>0</v>
      </c>
      <c r="F399" s="235">
        <v>1</v>
      </c>
      <c r="G399" s="236">
        <v>0.15</v>
      </c>
      <c r="H399" s="236">
        <v>1.4</v>
      </c>
      <c r="I399" s="236">
        <v>1.25</v>
      </c>
      <c r="J399" s="235">
        <v>1</v>
      </c>
      <c r="K399" s="237"/>
      <c r="L399" s="237">
        <f>((H399+I399)*2)*F399*G399*J399</f>
        <v>0.79499999999999993</v>
      </c>
      <c r="M399" s="111"/>
      <c r="N399" s="111"/>
      <c r="O399" s="111"/>
      <c r="P399" s="111"/>
    </row>
    <row r="400" spans="3:16" x14ac:dyDescent="0.3">
      <c r="C400" s="114"/>
      <c r="D400" s="233" t="s">
        <v>665</v>
      </c>
      <c r="E400" s="239" t="s">
        <v>0</v>
      </c>
      <c r="F400" s="235">
        <v>2</v>
      </c>
      <c r="G400" s="236">
        <v>0.15</v>
      </c>
      <c r="H400" s="236">
        <v>3.4</v>
      </c>
      <c r="I400" s="236">
        <v>1.25</v>
      </c>
      <c r="J400" s="235">
        <v>1</v>
      </c>
      <c r="K400" s="237"/>
      <c r="L400" s="237">
        <f>((H400+I400)*2)*F400*G400*J400</f>
        <v>2.79</v>
      </c>
      <c r="M400" s="111"/>
      <c r="N400" s="111"/>
      <c r="O400" s="111"/>
      <c r="P400" s="111"/>
    </row>
    <row r="401" spans="3:16" x14ac:dyDescent="0.3">
      <c r="C401" s="114"/>
      <c r="D401" s="233" t="s">
        <v>666</v>
      </c>
      <c r="E401" s="239" t="s">
        <v>0</v>
      </c>
      <c r="F401" s="235">
        <v>1</v>
      </c>
      <c r="G401" s="236">
        <v>0.15</v>
      </c>
      <c r="H401" s="236">
        <v>3.37</v>
      </c>
      <c r="I401" s="236">
        <v>1.25</v>
      </c>
      <c r="J401" s="235">
        <v>1</v>
      </c>
      <c r="K401" s="237"/>
      <c r="L401" s="237">
        <f>((H401+I401)*2)*F401*G401*J401</f>
        <v>1.3859999999999999</v>
      </c>
      <c r="M401" s="111"/>
      <c r="N401" s="111"/>
      <c r="O401" s="111"/>
      <c r="P401" s="111"/>
    </row>
    <row r="402" spans="3:16" x14ac:dyDescent="0.3">
      <c r="C402" s="114"/>
      <c r="D402" s="233" t="s">
        <v>667</v>
      </c>
      <c r="E402" s="239" t="s">
        <v>0</v>
      </c>
      <c r="F402" s="235">
        <v>1</v>
      </c>
      <c r="G402" s="236">
        <v>0.15</v>
      </c>
      <c r="H402" s="236">
        <v>1.66</v>
      </c>
      <c r="I402" s="236">
        <v>0.55000000000000004</v>
      </c>
      <c r="J402" s="235">
        <v>1</v>
      </c>
      <c r="K402" s="237"/>
      <c r="L402" s="237">
        <f>((H402+I402)*2)*F402*G402*J402</f>
        <v>0.66299999999999992</v>
      </c>
      <c r="M402" s="111"/>
      <c r="N402" s="111"/>
      <c r="O402" s="111"/>
      <c r="P402" s="111"/>
    </row>
    <row r="403" spans="3:16" x14ac:dyDescent="0.3">
      <c r="C403" s="118"/>
      <c r="D403" s="276" t="s">
        <v>129</v>
      </c>
      <c r="E403" s="254"/>
      <c r="F403" s="255"/>
      <c r="G403" s="256"/>
      <c r="H403" s="256"/>
      <c r="I403" s="256"/>
      <c r="J403" s="229"/>
      <c r="K403" s="231"/>
      <c r="L403" s="231"/>
      <c r="M403" s="113"/>
      <c r="N403" s="113"/>
      <c r="O403" s="113"/>
      <c r="P403" s="113"/>
    </row>
    <row r="404" spans="3:16" x14ac:dyDescent="0.3">
      <c r="C404" s="114"/>
      <c r="D404" s="233" t="s">
        <v>668</v>
      </c>
      <c r="E404" s="239" t="s">
        <v>0</v>
      </c>
      <c r="F404" s="235">
        <v>1</v>
      </c>
      <c r="G404" s="236">
        <v>0.15</v>
      </c>
      <c r="H404" s="236">
        <v>1.6</v>
      </c>
      <c r="I404" s="236">
        <v>2.75</v>
      </c>
      <c r="J404" s="235">
        <v>1</v>
      </c>
      <c r="K404" s="237"/>
      <c r="L404" s="237">
        <f>((H404+I404)*2)*F404*G404*J404</f>
        <v>1.3049999999999999</v>
      </c>
      <c r="M404" s="111"/>
      <c r="N404" s="111"/>
      <c r="O404" s="111"/>
      <c r="P404" s="111"/>
    </row>
    <row r="405" spans="3:16" x14ac:dyDescent="0.3">
      <c r="C405" s="114"/>
      <c r="D405" s="233" t="s">
        <v>669</v>
      </c>
      <c r="E405" s="239" t="s">
        <v>0</v>
      </c>
      <c r="F405" s="235">
        <v>1</v>
      </c>
      <c r="G405" s="236">
        <v>0.15</v>
      </c>
      <c r="H405" s="236">
        <v>1.2</v>
      </c>
      <c r="I405" s="236">
        <v>2.75</v>
      </c>
      <c r="J405" s="235">
        <v>1</v>
      </c>
      <c r="K405" s="237"/>
      <c r="L405" s="237">
        <f>((H405+I405)*2)*F405*G405*J405</f>
        <v>1.1850000000000001</v>
      </c>
      <c r="M405" s="111"/>
      <c r="N405" s="111"/>
      <c r="O405" s="111"/>
      <c r="P405" s="111"/>
    </row>
    <row r="406" spans="3:16" x14ac:dyDescent="0.3">
      <c r="C406" s="114"/>
      <c r="D406" s="233" t="s">
        <v>670</v>
      </c>
      <c r="E406" s="239" t="s">
        <v>0</v>
      </c>
      <c r="F406" s="235">
        <v>1</v>
      </c>
      <c r="G406" s="236">
        <v>0.15</v>
      </c>
      <c r="H406" s="236">
        <v>0.7</v>
      </c>
      <c r="I406" s="236">
        <v>2.75</v>
      </c>
      <c r="J406" s="235">
        <v>1</v>
      </c>
      <c r="K406" s="237"/>
      <c r="L406" s="237">
        <f>((H406+I406)*2)*F406*G406*J406</f>
        <v>1.0349999999999999</v>
      </c>
      <c r="M406" s="111"/>
      <c r="N406" s="111"/>
      <c r="O406" s="111"/>
      <c r="P406" s="111"/>
    </row>
    <row r="407" spans="3:16" x14ac:dyDescent="0.3">
      <c r="C407" s="114"/>
      <c r="D407" s="233" t="s">
        <v>671</v>
      </c>
      <c r="E407" s="239" t="s">
        <v>0</v>
      </c>
      <c r="F407" s="235">
        <v>2</v>
      </c>
      <c r="G407" s="236">
        <v>0.15</v>
      </c>
      <c r="H407" s="236">
        <v>1.6</v>
      </c>
      <c r="I407" s="236">
        <v>2.75</v>
      </c>
      <c r="J407" s="235">
        <v>1</v>
      </c>
      <c r="K407" s="237"/>
      <c r="L407" s="237">
        <f>((H407+I407)*2)*F407*G407*J407</f>
        <v>2.61</v>
      </c>
      <c r="M407" s="111"/>
      <c r="N407" s="111"/>
      <c r="O407" s="111"/>
      <c r="P407" s="111"/>
    </row>
    <row r="408" spans="3:16" x14ac:dyDescent="0.3">
      <c r="C408" s="114"/>
      <c r="D408" s="233" t="s">
        <v>672</v>
      </c>
      <c r="E408" s="239" t="s">
        <v>0</v>
      </c>
      <c r="F408" s="235">
        <v>1</v>
      </c>
      <c r="G408" s="236">
        <v>0.15</v>
      </c>
      <c r="H408" s="236">
        <v>1.95</v>
      </c>
      <c r="I408" s="236">
        <v>2.5499999999999998</v>
      </c>
      <c r="J408" s="235">
        <v>1</v>
      </c>
      <c r="K408" s="237"/>
      <c r="L408" s="237">
        <f>((H408+I408)*2)*F408*G408*J408</f>
        <v>1.3499999999999999</v>
      </c>
      <c r="M408" s="111"/>
      <c r="N408" s="111"/>
      <c r="O408" s="111"/>
      <c r="P408" s="111"/>
    </row>
    <row r="409" spans="3:16" x14ac:dyDescent="0.3">
      <c r="C409" s="118"/>
      <c r="D409" s="257" t="s">
        <v>127</v>
      </c>
      <c r="E409" s="254"/>
      <c r="F409" s="255"/>
      <c r="G409" s="256"/>
      <c r="H409" s="256"/>
      <c r="I409" s="256"/>
      <c r="J409" s="229"/>
      <c r="K409" s="231"/>
      <c r="L409" s="231"/>
      <c r="M409" s="113"/>
      <c r="N409" s="113"/>
      <c r="O409" s="113"/>
      <c r="P409" s="113"/>
    </row>
    <row r="410" spans="3:16" x14ac:dyDescent="0.3">
      <c r="C410" s="118"/>
      <c r="D410" s="276" t="s">
        <v>266</v>
      </c>
      <c r="E410" s="254"/>
      <c r="F410" s="255"/>
      <c r="G410" s="256"/>
      <c r="H410" s="256"/>
      <c r="I410" s="256"/>
      <c r="J410" s="229"/>
      <c r="K410" s="236"/>
      <c r="L410" s="231"/>
      <c r="M410" s="113"/>
      <c r="N410" s="113"/>
      <c r="O410" s="113"/>
      <c r="P410" s="113"/>
    </row>
    <row r="411" spans="3:16" x14ac:dyDescent="0.3">
      <c r="C411" s="114"/>
      <c r="D411" s="233" t="s">
        <v>139</v>
      </c>
      <c r="E411" s="239" t="s">
        <v>0</v>
      </c>
      <c r="F411" s="235">
        <v>21</v>
      </c>
      <c r="G411" s="236">
        <v>0.15</v>
      </c>
      <c r="H411" s="236">
        <v>0.55000000000000004</v>
      </c>
      <c r="I411" s="236">
        <v>8</v>
      </c>
      <c r="J411" s="235">
        <v>1</v>
      </c>
      <c r="K411" s="236"/>
      <c r="L411" s="237">
        <f>((H411+I411)*2)*F411*G411*J411</f>
        <v>53.865000000000002</v>
      </c>
      <c r="M411" s="111"/>
      <c r="N411" s="111"/>
      <c r="O411" s="111"/>
      <c r="P411" s="111"/>
    </row>
    <row r="412" spans="3:16" x14ac:dyDescent="0.3">
      <c r="C412" s="114"/>
      <c r="D412" s="233" t="s">
        <v>673</v>
      </c>
      <c r="E412" s="239" t="s">
        <v>0</v>
      </c>
      <c r="F412" s="235">
        <v>1</v>
      </c>
      <c r="G412" s="236">
        <v>0.15</v>
      </c>
      <c r="H412" s="236">
        <v>2.1</v>
      </c>
      <c r="I412" s="236">
        <v>0.25</v>
      </c>
      <c r="J412" s="235">
        <v>1</v>
      </c>
      <c r="K412" s="236"/>
      <c r="L412" s="237">
        <f>((H412+I412)*2)*F412*G412*J412</f>
        <v>0.70499999999999996</v>
      </c>
      <c r="M412" s="111"/>
      <c r="N412" s="111"/>
      <c r="O412" s="111"/>
      <c r="P412" s="111"/>
    </row>
    <row r="413" spans="3:16" x14ac:dyDescent="0.3">
      <c r="C413" s="118"/>
      <c r="D413" s="276" t="s">
        <v>129</v>
      </c>
      <c r="E413" s="254"/>
      <c r="F413" s="255"/>
      <c r="G413" s="256"/>
      <c r="H413" s="256"/>
      <c r="I413" s="256"/>
      <c r="J413" s="229"/>
      <c r="K413" s="236"/>
      <c r="L413" s="231"/>
      <c r="M413" s="113"/>
      <c r="N413" s="113"/>
      <c r="O413" s="113"/>
      <c r="P413" s="113"/>
    </row>
    <row r="414" spans="3:16" x14ac:dyDescent="0.3">
      <c r="C414" s="114"/>
      <c r="D414" s="233" t="s">
        <v>674</v>
      </c>
      <c r="E414" s="239" t="s">
        <v>0</v>
      </c>
      <c r="F414" s="235">
        <v>2</v>
      </c>
      <c r="G414" s="236">
        <v>0.15</v>
      </c>
      <c r="H414" s="236">
        <v>1.5</v>
      </c>
      <c r="I414" s="236">
        <v>3.02</v>
      </c>
      <c r="J414" s="235">
        <v>1</v>
      </c>
      <c r="K414" s="236"/>
      <c r="L414" s="237">
        <f>((H414+I414)*2)*F414*G414*J414</f>
        <v>2.7119999999999997</v>
      </c>
      <c r="M414" s="111"/>
      <c r="N414" s="111"/>
      <c r="O414" s="111"/>
      <c r="P414" s="111"/>
    </row>
    <row r="415" spans="3:16" x14ac:dyDescent="0.3">
      <c r="C415" s="114"/>
      <c r="D415" s="233" t="s">
        <v>675</v>
      </c>
      <c r="E415" s="239" t="s">
        <v>0</v>
      </c>
      <c r="F415" s="235">
        <v>1</v>
      </c>
      <c r="G415" s="236">
        <v>0.15</v>
      </c>
      <c r="H415" s="236">
        <v>1.2</v>
      </c>
      <c r="I415" s="236">
        <v>1.84</v>
      </c>
      <c r="J415" s="235">
        <v>1</v>
      </c>
      <c r="K415" s="236"/>
      <c r="L415" s="237">
        <f>((H415+I415)*2)*F415*G415*J415</f>
        <v>0.91199999999999992</v>
      </c>
      <c r="M415" s="111"/>
      <c r="N415" s="111"/>
      <c r="O415" s="111"/>
      <c r="P415" s="111"/>
    </row>
    <row r="416" spans="3:16" x14ac:dyDescent="0.3">
      <c r="C416" s="118"/>
      <c r="D416" s="257" t="s">
        <v>68</v>
      </c>
      <c r="E416" s="254"/>
      <c r="F416" s="255"/>
      <c r="G416" s="256"/>
      <c r="H416" s="256"/>
      <c r="I416" s="256"/>
      <c r="J416" s="229"/>
      <c r="K416" s="236"/>
      <c r="L416" s="231"/>
      <c r="M416" s="113"/>
      <c r="N416" s="113"/>
      <c r="O416" s="113"/>
      <c r="P416" s="113"/>
    </row>
    <row r="417" spans="3:16" x14ac:dyDescent="0.3">
      <c r="C417" s="118"/>
      <c r="D417" s="276" t="s">
        <v>266</v>
      </c>
      <c r="E417" s="254"/>
      <c r="F417" s="255"/>
      <c r="G417" s="256"/>
      <c r="H417" s="256"/>
      <c r="I417" s="256"/>
      <c r="J417" s="229"/>
      <c r="K417" s="236"/>
      <c r="L417" s="231"/>
      <c r="M417" s="113"/>
      <c r="N417" s="113"/>
      <c r="O417" s="113"/>
      <c r="P417" s="113"/>
    </row>
    <row r="418" spans="3:16" x14ac:dyDescent="0.3">
      <c r="C418" s="114"/>
      <c r="D418" s="233" t="s">
        <v>154</v>
      </c>
      <c r="E418" s="239" t="s">
        <v>0</v>
      </c>
      <c r="F418" s="235">
        <v>1</v>
      </c>
      <c r="G418" s="236">
        <v>0.15</v>
      </c>
      <c r="H418" s="236">
        <v>2.4</v>
      </c>
      <c r="I418" s="236">
        <v>0.75</v>
      </c>
      <c r="J418" s="235">
        <v>1</v>
      </c>
      <c r="K418" s="236"/>
      <c r="L418" s="237">
        <f>((H418+I418)*2)*F418*G418*J418</f>
        <v>0.94499999999999995</v>
      </c>
      <c r="M418" s="111"/>
      <c r="N418" s="111"/>
      <c r="O418" s="111"/>
      <c r="P418" s="111"/>
    </row>
    <row r="419" spans="3:16" x14ac:dyDescent="0.3">
      <c r="C419" s="114"/>
      <c r="D419" s="233" t="s">
        <v>676</v>
      </c>
      <c r="E419" s="239" t="s">
        <v>0</v>
      </c>
      <c r="F419" s="235">
        <v>2</v>
      </c>
      <c r="G419" s="236">
        <v>0.15</v>
      </c>
      <c r="H419" s="236">
        <v>3.4</v>
      </c>
      <c r="I419" s="236">
        <v>0.75</v>
      </c>
      <c r="J419" s="235">
        <v>1</v>
      </c>
      <c r="K419" s="236"/>
      <c r="L419" s="237">
        <f>((H419+I419)*2)*F419*G419*J419</f>
        <v>2.4900000000000002</v>
      </c>
      <c r="M419" s="111"/>
      <c r="N419" s="111"/>
      <c r="O419" s="111"/>
      <c r="P419" s="111"/>
    </row>
    <row r="420" spans="3:16" x14ac:dyDescent="0.3">
      <c r="C420" s="118"/>
      <c r="D420" s="276" t="s">
        <v>129</v>
      </c>
      <c r="E420" s="254"/>
      <c r="F420" s="255"/>
      <c r="G420" s="256"/>
      <c r="H420" s="256"/>
      <c r="I420" s="256"/>
      <c r="J420" s="229"/>
      <c r="K420" s="236"/>
      <c r="L420" s="231"/>
      <c r="M420" s="113"/>
      <c r="N420" s="113"/>
      <c r="O420" s="113"/>
      <c r="P420" s="113"/>
    </row>
    <row r="421" spans="3:16" x14ac:dyDescent="0.3">
      <c r="C421" s="114"/>
      <c r="D421" s="233" t="s">
        <v>677</v>
      </c>
      <c r="E421" s="239" t="s">
        <v>0</v>
      </c>
      <c r="F421" s="235">
        <v>1</v>
      </c>
      <c r="G421" s="236">
        <v>0.15</v>
      </c>
      <c r="H421" s="236">
        <v>1</v>
      </c>
      <c r="I421" s="236">
        <v>2.92</v>
      </c>
      <c r="J421" s="235">
        <v>1</v>
      </c>
      <c r="K421" s="236"/>
      <c r="L421" s="237">
        <f>((H421+I421)*2)*F421*G421*J421</f>
        <v>1.1759999999999999</v>
      </c>
      <c r="M421" s="111"/>
      <c r="N421" s="111"/>
      <c r="O421" s="111"/>
      <c r="P421" s="111"/>
    </row>
    <row r="422" spans="3:16" x14ac:dyDescent="0.3">
      <c r="C422" s="118"/>
      <c r="D422" s="257" t="s">
        <v>106</v>
      </c>
      <c r="E422" s="254"/>
      <c r="F422" s="255"/>
      <c r="G422" s="256"/>
      <c r="H422" s="256"/>
      <c r="I422" s="256"/>
      <c r="J422" s="229"/>
      <c r="K422" s="236"/>
      <c r="L422" s="231"/>
      <c r="M422" s="113"/>
      <c r="N422" s="113"/>
      <c r="O422" s="113"/>
      <c r="P422" s="113"/>
    </row>
    <row r="423" spans="3:16" x14ac:dyDescent="0.3">
      <c r="C423" s="118"/>
      <c r="D423" s="276" t="s">
        <v>266</v>
      </c>
      <c r="E423" s="254"/>
      <c r="F423" s="255"/>
      <c r="G423" s="256"/>
      <c r="H423" s="256"/>
      <c r="I423" s="256"/>
      <c r="J423" s="229"/>
      <c r="K423" s="236"/>
      <c r="L423" s="231"/>
      <c r="M423" s="113"/>
      <c r="N423" s="113"/>
      <c r="O423" s="113"/>
      <c r="P423" s="113"/>
    </row>
    <row r="424" spans="3:16" x14ac:dyDescent="0.3">
      <c r="C424" s="114"/>
      <c r="D424" s="233" t="s">
        <v>678</v>
      </c>
      <c r="E424" s="239" t="s">
        <v>0</v>
      </c>
      <c r="F424" s="235">
        <v>1</v>
      </c>
      <c r="G424" s="236">
        <v>0.15</v>
      </c>
      <c r="H424" s="236">
        <v>2.37</v>
      </c>
      <c r="I424" s="236">
        <v>0.75</v>
      </c>
      <c r="J424" s="235">
        <v>1</v>
      </c>
      <c r="K424" s="236"/>
      <c r="L424" s="237">
        <f>((H424+I424)*2)*F424*G424*J424</f>
        <v>0.93599999999999994</v>
      </c>
      <c r="M424" s="111"/>
      <c r="N424" s="111"/>
      <c r="O424" s="111"/>
      <c r="P424" s="111"/>
    </row>
    <row r="425" spans="3:16" x14ac:dyDescent="0.3">
      <c r="C425" s="114"/>
      <c r="D425" s="233" t="s">
        <v>679</v>
      </c>
      <c r="E425" s="239" t="s">
        <v>0</v>
      </c>
      <c r="F425" s="235">
        <v>12</v>
      </c>
      <c r="G425" s="236">
        <v>0.15</v>
      </c>
      <c r="H425" s="236">
        <v>1.2</v>
      </c>
      <c r="I425" s="236">
        <v>0.75</v>
      </c>
      <c r="J425" s="235">
        <v>1</v>
      </c>
      <c r="K425" s="236"/>
      <c r="L425" s="237">
        <f>((H425+I425)*2)*F425*G425*J425</f>
        <v>7.02</v>
      </c>
      <c r="M425" s="111"/>
      <c r="N425" s="111"/>
      <c r="O425" s="111"/>
      <c r="P425" s="111"/>
    </row>
    <row r="426" spans="3:16" x14ac:dyDescent="0.3">
      <c r="C426" s="118"/>
      <c r="D426" s="276" t="s">
        <v>129</v>
      </c>
      <c r="E426" s="254"/>
      <c r="F426" s="255"/>
      <c r="G426" s="256"/>
      <c r="H426" s="256"/>
      <c r="I426" s="256"/>
      <c r="J426" s="229"/>
      <c r="K426" s="236"/>
      <c r="L426" s="231"/>
      <c r="M426" s="113"/>
      <c r="N426" s="113"/>
      <c r="O426" s="113"/>
      <c r="P426" s="113"/>
    </row>
    <row r="427" spans="3:16" x14ac:dyDescent="0.3">
      <c r="C427" s="114"/>
      <c r="D427" s="233" t="s">
        <v>680</v>
      </c>
      <c r="E427" s="239" t="s">
        <v>0</v>
      </c>
      <c r="F427" s="235">
        <v>1</v>
      </c>
      <c r="G427" s="236">
        <v>0.15</v>
      </c>
      <c r="H427" s="236">
        <v>1</v>
      </c>
      <c r="I427" s="236">
        <v>2.85</v>
      </c>
      <c r="J427" s="235">
        <v>1</v>
      </c>
      <c r="K427" s="236"/>
      <c r="L427" s="237">
        <f>((H427+I427)*2)*F427*G427*J427</f>
        <v>1.155</v>
      </c>
      <c r="M427" s="111"/>
      <c r="N427" s="111"/>
      <c r="O427" s="111"/>
      <c r="P427" s="111"/>
    </row>
    <row r="428" spans="3:16" x14ac:dyDescent="0.3">
      <c r="C428" s="114"/>
      <c r="D428" s="233" t="s">
        <v>681</v>
      </c>
      <c r="E428" s="239" t="s">
        <v>0</v>
      </c>
      <c r="F428" s="235">
        <v>6</v>
      </c>
      <c r="G428" s="236">
        <v>0.15</v>
      </c>
      <c r="H428" s="236">
        <v>1</v>
      </c>
      <c r="I428" s="236">
        <v>2.85</v>
      </c>
      <c r="J428" s="235">
        <v>1</v>
      </c>
      <c r="K428" s="236"/>
      <c r="L428" s="237">
        <f>((H428+I428)*2)*F428*G428*J428</f>
        <v>6.9300000000000006</v>
      </c>
      <c r="M428" s="111"/>
      <c r="N428" s="111"/>
      <c r="O428" s="111"/>
      <c r="P428" s="111"/>
    </row>
    <row r="429" spans="3:16" ht="14.4" x14ac:dyDescent="0.3">
      <c r="C429"/>
      <c r="D429"/>
      <c r="E429"/>
      <c r="F429"/>
      <c r="G429"/>
      <c r="H429"/>
      <c r="I429"/>
      <c r="J429"/>
      <c r="K429" s="103"/>
      <c r="L429"/>
      <c r="M429"/>
      <c r="N429"/>
      <c r="O429"/>
      <c r="P429"/>
    </row>
    <row r="430" spans="3:16" x14ac:dyDescent="0.3">
      <c r="C430" s="99" t="s">
        <v>1185</v>
      </c>
      <c r="D430" s="226" t="s">
        <v>159</v>
      </c>
      <c r="E430" s="101" t="s">
        <v>0</v>
      </c>
      <c r="F430" s="1"/>
      <c r="G430" s="2"/>
      <c r="H430" s="2"/>
      <c r="I430" s="2"/>
      <c r="J430" s="3"/>
      <c r="K430" s="103"/>
      <c r="L430" s="103"/>
      <c r="M430" s="103"/>
      <c r="N430" s="103"/>
      <c r="O430" s="103"/>
      <c r="P430" s="103">
        <f>SUM(L430:L450)</f>
        <v>482.45</v>
      </c>
    </row>
    <row r="431" spans="3:16" x14ac:dyDescent="0.3">
      <c r="C431" s="106"/>
      <c r="D431" s="227" t="s">
        <v>123</v>
      </c>
      <c r="E431" s="228"/>
      <c r="F431" s="229"/>
      <c r="G431" s="230"/>
      <c r="H431" s="230"/>
      <c r="I431" s="230"/>
      <c r="J431" s="229"/>
      <c r="K431" s="231"/>
      <c r="L431" s="231"/>
      <c r="M431" s="113"/>
      <c r="N431" s="113"/>
      <c r="O431" s="113"/>
      <c r="P431" s="113"/>
    </row>
    <row r="432" spans="3:16" x14ac:dyDescent="0.3">
      <c r="C432" s="114"/>
      <c r="D432" s="233" t="s">
        <v>682</v>
      </c>
      <c r="E432" s="234" t="s">
        <v>0</v>
      </c>
      <c r="F432" s="235">
        <v>4</v>
      </c>
      <c r="G432" s="236" t="s">
        <v>156</v>
      </c>
      <c r="H432" s="236">
        <v>40.06</v>
      </c>
      <c r="I432" s="236"/>
      <c r="J432" s="235">
        <v>1</v>
      </c>
      <c r="K432" s="237"/>
      <c r="L432" s="237">
        <f t="shared" ref="L432:L436" si="26">IF(F432="","",PRODUCT(F432:J432))</f>
        <v>160.24</v>
      </c>
      <c r="M432" s="111"/>
      <c r="N432" s="111"/>
      <c r="O432" s="111"/>
      <c r="P432" s="111"/>
    </row>
    <row r="433" spans="3:16" x14ac:dyDescent="0.3">
      <c r="C433" s="114"/>
      <c r="D433" s="233" t="s">
        <v>683</v>
      </c>
      <c r="E433" s="234" t="s">
        <v>0</v>
      </c>
      <c r="F433" s="235">
        <v>1</v>
      </c>
      <c r="G433" s="236" t="s">
        <v>156</v>
      </c>
      <c r="H433" s="236">
        <v>18.79</v>
      </c>
      <c r="I433" s="236"/>
      <c r="J433" s="235">
        <v>1</v>
      </c>
      <c r="K433" s="237"/>
      <c r="L433" s="237">
        <f t="shared" si="26"/>
        <v>18.79</v>
      </c>
      <c r="M433" s="111"/>
      <c r="N433" s="111"/>
      <c r="O433" s="111"/>
      <c r="P433" s="111"/>
    </row>
    <row r="434" spans="3:16" x14ac:dyDescent="0.3">
      <c r="C434" s="114"/>
      <c r="D434" s="233" t="s">
        <v>684</v>
      </c>
      <c r="E434" s="234" t="s">
        <v>0</v>
      </c>
      <c r="F434" s="235">
        <v>1</v>
      </c>
      <c r="G434" s="236" t="s">
        <v>156</v>
      </c>
      <c r="H434" s="236">
        <v>11.15</v>
      </c>
      <c r="I434" s="236"/>
      <c r="J434" s="235">
        <v>1</v>
      </c>
      <c r="K434" s="237"/>
      <c r="L434" s="237">
        <f t="shared" si="26"/>
        <v>11.15</v>
      </c>
      <c r="M434" s="111"/>
      <c r="N434" s="111"/>
      <c r="O434" s="111"/>
      <c r="P434" s="111"/>
    </row>
    <row r="435" spans="3:16" x14ac:dyDescent="0.3">
      <c r="C435" s="114"/>
      <c r="D435" s="233" t="s">
        <v>685</v>
      </c>
      <c r="E435" s="234" t="s">
        <v>0</v>
      </c>
      <c r="F435" s="235">
        <v>1</v>
      </c>
      <c r="G435" s="236" t="s">
        <v>156</v>
      </c>
      <c r="H435" s="236">
        <v>8.94</v>
      </c>
      <c r="I435" s="236"/>
      <c r="J435" s="235">
        <v>1</v>
      </c>
      <c r="K435" s="237"/>
      <c r="L435" s="237">
        <f t="shared" si="26"/>
        <v>8.94</v>
      </c>
      <c r="M435" s="111"/>
      <c r="N435" s="111"/>
      <c r="O435" s="111"/>
      <c r="P435" s="111"/>
    </row>
    <row r="436" spans="3:16" x14ac:dyDescent="0.3">
      <c r="C436" s="114"/>
      <c r="D436" s="258" t="s">
        <v>284</v>
      </c>
      <c r="E436" s="239" t="s">
        <v>0</v>
      </c>
      <c r="F436" s="242">
        <v>21</v>
      </c>
      <c r="G436" s="236" t="s">
        <v>156</v>
      </c>
      <c r="H436" s="236">
        <v>0.06</v>
      </c>
      <c r="I436" s="236"/>
      <c r="J436" s="235">
        <v>1</v>
      </c>
      <c r="K436" s="237"/>
      <c r="L436" s="237">
        <f t="shared" si="26"/>
        <v>1.26</v>
      </c>
      <c r="M436" s="111"/>
      <c r="N436" s="111"/>
      <c r="O436" s="111"/>
      <c r="P436" s="111"/>
    </row>
    <row r="437" spans="3:16" x14ac:dyDescent="0.3">
      <c r="C437" s="106"/>
      <c r="D437" s="227" t="s">
        <v>127</v>
      </c>
      <c r="E437" s="228"/>
      <c r="F437" s="229"/>
      <c r="G437" s="230"/>
      <c r="H437" s="230"/>
      <c r="I437" s="230"/>
      <c r="J437" s="229"/>
      <c r="K437" s="231"/>
      <c r="L437" s="231"/>
      <c r="M437" s="113"/>
      <c r="N437" s="113"/>
      <c r="O437" s="113"/>
      <c r="P437" s="113"/>
    </row>
    <row r="438" spans="3:16" x14ac:dyDescent="0.3">
      <c r="C438" s="114"/>
      <c r="D438" s="233" t="s">
        <v>686</v>
      </c>
      <c r="E438" s="234" t="s">
        <v>0</v>
      </c>
      <c r="F438" s="235">
        <v>1</v>
      </c>
      <c r="G438" s="236" t="s">
        <v>156</v>
      </c>
      <c r="H438" s="236">
        <v>35.11</v>
      </c>
      <c r="I438" s="236"/>
      <c r="J438" s="235">
        <v>1</v>
      </c>
      <c r="K438" s="237"/>
      <c r="L438" s="237">
        <f>IF(F438="","",PRODUCT(F438:J438))</f>
        <v>35.11</v>
      </c>
      <c r="M438" s="111"/>
      <c r="N438" s="111"/>
      <c r="O438" s="111"/>
      <c r="P438" s="111"/>
    </row>
    <row r="439" spans="3:16" x14ac:dyDescent="0.3">
      <c r="C439" s="114"/>
      <c r="D439" s="233"/>
      <c r="E439" s="234" t="s">
        <v>0</v>
      </c>
      <c r="F439" s="235">
        <v>1</v>
      </c>
      <c r="G439" s="236" t="s">
        <v>156</v>
      </c>
      <c r="H439" s="236">
        <v>4.9000000000000004</v>
      </c>
      <c r="I439" s="236"/>
      <c r="J439" s="235">
        <v>1</v>
      </c>
      <c r="K439" s="237"/>
      <c r="L439" s="237">
        <f>IF(F439="","",PRODUCT(F439:J439))</f>
        <v>4.9000000000000004</v>
      </c>
      <c r="M439" s="111"/>
      <c r="N439" s="111"/>
      <c r="O439" s="111"/>
      <c r="P439" s="111"/>
    </row>
    <row r="440" spans="3:16" x14ac:dyDescent="0.3">
      <c r="C440" s="114"/>
      <c r="D440" s="233" t="s">
        <v>687</v>
      </c>
      <c r="E440" s="234" t="s">
        <v>0</v>
      </c>
      <c r="F440" s="235">
        <v>1</v>
      </c>
      <c r="G440" s="236" t="s">
        <v>156</v>
      </c>
      <c r="H440" s="236">
        <v>4.47</v>
      </c>
      <c r="I440" s="236"/>
      <c r="J440" s="235">
        <v>1</v>
      </c>
      <c r="K440" s="237"/>
      <c r="L440" s="237">
        <f>IF(F440="","",PRODUCT(F440:J440))</f>
        <v>4.47</v>
      </c>
      <c r="M440" s="111"/>
      <c r="N440" s="111"/>
      <c r="O440" s="111"/>
      <c r="P440" s="111"/>
    </row>
    <row r="441" spans="3:16" x14ac:dyDescent="0.3">
      <c r="C441" s="114"/>
      <c r="D441" s="233" t="s">
        <v>518</v>
      </c>
      <c r="E441" s="234" t="s">
        <v>0</v>
      </c>
      <c r="F441" s="235">
        <v>14</v>
      </c>
      <c r="G441" s="236" t="s">
        <v>156</v>
      </c>
      <c r="H441" s="236">
        <f>3.87</f>
        <v>3.87</v>
      </c>
      <c r="I441" s="236"/>
      <c r="J441" s="235">
        <v>1</v>
      </c>
      <c r="K441" s="237"/>
      <c r="L441" s="237">
        <f>IF(F441="","",PRODUCT(F441:J441))</f>
        <v>54.18</v>
      </c>
      <c r="M441" s="111"/>
      <c r="N441" s="111"/>
      <c r="O441" s="111"/>
      <c r="P441" s="111"/>
    </row>
    <row r="442" spans="3:16" x14ac:dyDescent="0.3">
      <c r="C442" s="106"/>
      <c r="D442" s="227" t="s">
        <v>68</v>
      </c>
      <c r="E442" s="228"/>
      <c r="F442" s="229"/>
      <c r="G442" s="230"/>
      <c r="H442" s="230"/>
      <c r="I442" s="230"/>
      <c r="J442" s="229"/>
      <c r="K442" s="231"/>
      <c r="L442" s="231"/>
      <c r="M442" s="113"/>
      <c r="N442" s="113"/>
      <c r="O442" s="113"/>
      <c r="P442" s="113"/>
    </row>
    <row r="443" spans="3:16" x14ac:dyDescent="0.3">
      <c r="C443" s="114"/>
      <c r="D443" s="233" t="s">
        <v>688</v>
      </c>
      <c r="E443" s="234" t="s">
        <v>0</v>
      </c>
      <c r="F443" s="235">
        <v>1</v>
      </c>
      <c r="G443" s="236" t="s">
        <v>156</v>
      </c>
      <c r="H443" s="236">
        <v>40.26</v>
      </c>
      <c r="I443" s="236"/>
      <c r="J443" s="235">
        <v>1</v>
      </c>
      <c r="K443" s="237"/>
      <c r="L443" s="237">
        <f>IF(F443="","",PRODUCT(F443:J443))</f>
        <v>40.26</v>
      </c>
      <c r="M443" s="111"/>
      <c r="N443" s="111"/>
      <c r="O443" s="111"/>
      <c r="P443" s="111"/>
    </row>
    <row r="444" spans="3:16" x14ac:dyDescent="0.3">
      <c r="C444" s="114"/>
      <c r="D444" s="233" t="s">
        <v>518</v>
      </c>
      <c r="E444" s="234" t="s">
        <v>0</v>
      </c>
      <c r="F444" s="235">
        <v>14</v>
      </c>
      <c r="G444" s="236" t="s">
        <v>156</v>
      </c>
      <c r="H444" s="236">
        <f>3.87</f>
        <v>3.87</v>
      </c>
      <c r="I444" s="236"/>
      <c r="J444" s="235">
        <v>1</v>
      </c>
      <c r="K444" s="237"/>
      <c r="L444" s="237">
        <f>IF(F444="","",PRODUCT(F444:J444))</f>
        <v>54.18</v>
      </c>
      <c r="M444" s="111"/>
      <c r="N444" s="111"/>
      <c r="O444" s="111"/>
      <c r="P444" s="111"/>
    </row>
    <row r="445" spans="3:16" x14ac:dyDescent="0.3">
      <c r="C445" s="114"/>
      <c r="D445" s="258" t="s">
        <v>284</v>
      </c>
      <c r="E445" s="239" t="s">
        <v>0</v>
      </c>
      <c r="F445" s="242">
        <v>21</v>
      </c>
      <c r="G445" s="236" t="s">
        <v>156</v>
      </c>
      <c r="H445" s="236">
        <v>0.06</v>
      </c>
      <c r="I445" s="236"/>
      <c r="J445" s="235">
        <v>1</v>
      </c>
      <c r="K445" s="237"/>
      <c r="L445" s="237">
        <f t="shared" ref="L445" si="27">IF(F445="","",PRODUCT(F445:J445))</f>
        <v>1.26</v>
      </c>
      <c r="M445" s="111"/>
      <c r="N445" s="111"/>
      <c r="O445" s="111"/>
      <c r="P445" s="111"/>
    </row>
    <row r="446" spans="3:16" x14ac:dyDescent="0.3">
      <c r="C446" s="106"/>
      <c r="D446" s="227" t="s">
        <v>106</v>
      </c>
      <c r="E446" s="228"/>
      <c r="F446" s="229"/>
      <c r="G446" s="230"/>
      <c r="H446" s="230"/>
      <c r="I446" s="230"/>
      <c r="J446" s="229"/>
      <c r="K446" s="231"/>
      <c r="L446" s="231"/>
      <c r="M446" s="113"/>
      <c r="N446" s="113"/>
      <c r="O446" s="113"/>
      <c r="P446" s="113"/>
    </row>
    <row r="447" spans="3:16" x14ac:dyDescent="0.3">
      <c r="C447" s="114"/>
      <c r="D447" s="233" t="s">
        <v>518</v>
      </c>
      <c r="E447" s="234" t="s">
        <v>0</v>
      </c>
      <c r="F447" s="235">
        <v>14</v>
      </c>
      <c r="G447" s="236">
        <v>2.4500000000000002</v>
      </c>
      <c r="H447" s="236">
        <v>1.8</v>
      </c>
      <c r="I447" s="236"/>
      <c r="J447" s="235">
        <v>1</v>
      </c>
      <c r="K447" s="237"/>
      <c r="L447" s="237">
        <f>IF(F447="","",PRODUCT(F447:J447))</f>
        <v>61.740000000000009</v>
      </c>
      <c r="M447" s="111"/>
      <c r="N447" s="111"/>
      <c r="O447" s="111"/>
      <c r="P447" s="111"/>
    </row>
    <row r="448" spans="3:16" x14ac:dyDescent="0.3">
      <c r="C448" s="114"/>
      <c r="D448" s="258" t="s">
        <v>284</v>
      </c>
      <c r="E448" s="239" t="s">
        <v>0</v>
      </c>
      <c r="F448" s="242">
        <v>21</v>
      </c>
      <c r="G448" s="236" t="s">
        <v>156</v>
      </c>
      <c r="H448" s="236">
        <v>0.06</v>
      </c>
      <c r="I448" s="236"/>
      <c r="J448" s="235">
        <v>1</v>
      </c>
      <c r="K448" s="237"/>
      <c r="L448" s="237">
        <f>IF(F448="","",PRODUCT(F448:J448))</f>
        <v>1.26</v>
      </c>
      <c r="M448" s="111"/>
      <c r="N448" s="111"/>
      <c r="O448" s="111"/>
      <c r="P448" s="111"/>
    </row>
    <row r="449" spans="3:16" x14ac:dyDescent="0.3">
      <c r="C449" s="114"/>
      <c r="D449" s="258"/>
      <c r="E449" s="239" t="s">
        <v>0</v>
      </c>
      <c r="F449" s="242">
        <v>7</v>
      </c>
      <c r="G449" s="236" t="s">
        <v>156</v>
      </c>
      <c r="H449" s="236">
        <v>3.53</v>
      </c>
      <c r="I449" s="236"/>
      <c r="J449" s="235">
        <v>1</v>
      </c>
      <c r="K449" s="237"/>
      <c r="L449" s="237">
        <f t="shared" ref="L449" si="28">IF(F449="","",PRODUCT(F449:J449))</f>
        <v>24.709999999999997</v>
      </c>
      <c r="M449" s="111"/>
      <c r="N449" s="111"/>
      <c r="O449" s="111"/>
      <c r="P449" s="111"/>
    </row>
    <row r="450" spans="3:16" ht="14.4" x14ac:dyDescent="0.3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BD4D-65C1-4F2D-BA40-BFAFB8605D70}">
  <dimension ref="A1:W319"/>
  <sheetViews>
    <sheetView view="pageBreakPreview" topLeftCell="B270" zoomScale="115" zoomScaleNormal="100" zoomScaleSheetLayoutView="115" workbookViewId="0">
      <selection activeCell="C297" sqref="C297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4.8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1128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560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226" t="s">
        <v>522</v>
      </c>
      <c r="E20" s="101" t="s">
        <v>0</v>
      </c>
      <c r="F20" s="1"/>
      <c r="G20" s="2"/>
      <c r="H20" s="2"/>
      <c r="I20" s="2"/>
      <c r="J20" s="3"/>
      <c r="K20" s="103"/>
      <c r="L20" s="103"/>
      <c r="M20" s="103"/>
      <c r="N20" s="103"/>
      <c r="O20" s="103"/>
      <c r="P20" s="103">
        <f>SUM(L20:L76)</f>
        <v>349.29299999999989</v>
      </c>
    </row>
    <row r="21" spans="1:16" x14ac:dyDescent="0.3">
      <c r="C21" s="106"/>
      <c r="D21" s="227" t="s">
        <v>127</v>
      </c>
      <c r="E21" s="228"/>
      <c r="F21" s="229"/>
      <c r="G21" s="230"/>
      <c r="H21" s="230"/>
      <c r="I21" s="230"/>
      <c r="J21" s="229"/>
      <c r="K21" s="231"/>
      <c r="L21" s="231"/>
      <c r="M21" s="113"/>
      <c r="N21" s="113"/>
      <c r="O21" s="113"/>
      <c r="P21" s="113"/>
    </row>
    <row r="22" spans="1:16" x14ac:dyDescent="0.3">
      <c r="C22" s="106"/>
      <c r="D22" s="232" t="s">
        <v>160</v>
      </c>
      <c r="E22" s="228"/>
      <c r="F22" s="229"/>
      <c r="G22" s="230"/>
      <c r="H22" s="230"/>
      <c r="I22" s="230"/>
      <c r="J22" s="229"/>
      <c r="K22" s="231"/>
      <c r="L22" s="231"/>
      <c r="M22" s="113"/>
      <c r="N22" s="113"/>
      <c r="O22" s="113"/>
      <c r="P22" s="113"/>
    </row>
    <row r="23" spans="1:16" x14ac:dyDescent="0.3">
      <c r="C23" s="114"/>
      <c r="D23" s="233" t="s">
        <v>437</v>
      </c>
      <c r="E23" s="234" t="s">
        <v>0</v>
      </c>
      <c r="F23" s="235">
        <v>1</v>
      </c>
      <c r="G23" s="236">
        <v>1.1499999999999999</v>
      </c>
      <c r="H23" s="236"/>
      <c r="I23" s="236">
        <v>2.1</v>
      </c>
      <c r="J23" s="235">
        <v>1</v>
      </c>
      <c r="K23" s="237"/>
      <c r="L23" s="237">
        <f t="shared" ref="L23:L29" si="0">IF(F23="","",PRODUCT(F23:J23))</f>
        <v>2.415</v>
      </c>
      <c r="M23" s="111"/>
      <c r="N23" s="111"/>
      <c r="O23" s="111"/>
      <c r="P23" s="111"/>
    </row>
    <row r="24" spans="1:16" x14ac:dyDescent="0.3">
      <c r="C24" s="114"/>
      <c r="D24" s="233" t="s">
        <v>438</v>
      </c>
      <c r="E24" s="234" t="s">
        <v>0</v>
      </c>
      <c r="F24" s="235">
        <v>1</v>
      </c>
      <c r="G24" s="236">
        <v>3.65</v>
      </c>
      <c r="H24" s="236"/>
      <c r="I24" s="236">
        <v>2.1</v>
      </c>
      <c r="J24" s="235">
        <v>1</v>
      </c>
      <c r="K24" s="237"/>
      <c r="L24" s="237">
        <f t="shared" si="0"/>
        <v>7.665</v>
      </c>
      <c r="M24" s="111"/>
      <c r="N24" s="111"/>
      <c r="O24" s="111"/>
      <c r="P24" s="111"/>
    </row>
    <row r="25" spans="1:16" x14ac:dyDescent="0.3">
      <c r="C25" s="114"/>
      <c r="D25" s="233" t="s">
        <v>439</v>
      </c>
      <c r="E25" s="234" t="s">
        <v>0</v>
      </c>
      <c r="F25" s="235">
        <v>1</v>
      </c>
      <c r="G25" s="236">
        <v>1.1499999999999999</v>
      </c>
      <c r="H25" s="236"/>
      <c r="I25" s="236">
        <v>2.1</v>
      </c>
      <c r="J25" s="235">
        <v>1</v>
      </c>
      <c r="K25" s="237"/>
      <c r="L25" s="237">
        <f t="shared" si="0"/>
        <v>2.415</v>
      </c>
      <c r="M25" s="111"/>
      <c r="N25" s="111"/>
      <c r="O25" s="111"/>
      <c r="P25" s="111"/>
    </row>
    <row r="26" spans="1:16" x14ac:dyDescent="0.3">
      <c r="C26" s="114"/>
      <c r="D26" s="233" t="s">
        <v>440</v>
      </c>
      <c r="E26" s="234" t="s">
        <v>0</v>
      </c>
      <c r="F26" s="235">
        <v>1</v>
      </c>
      <c r="G26" s="236">
        <v>3.65</v>
      </c>
      <c r="H26" s="236"/>
      <c r="I26" s="236">
        <v>2.1</v>
      </c>
      <c r="J26" s="235">
        <v>1</v>
      </c>
      <c r="K26" s="237"/>
      <c r="L26" s="237">
        <f t="shared" si="0"/>
        <v>7.665</v>
      </c>
      <c r="M26" s="111"/>
      <c r="N26" s="111"/>
      <c r="O26" s="111"/>
      <c r="P26" s="111"/>
    </row>
    <row r="27" spans="1:16" x14ac:dyDescent="0.3">
      <c r="C27" s="114"/>
      <c r="D27" s="233" t="s">
        <v>441</v>
      </c>
      <c r="E27" s="234" t="s">
        <v>0</v>
      </c>
      <c r="F27" s="235">
        <v>1</v>
      </c>
      <c r="G27" s="236">
        <v>3.3</v>
      </c>
      <c r="H27" s="236"/>
      <c r="I27" s="236">
        <v>2.9</v>
      </c>
      <c r="J27" s="235">
        <v>1</v>
      </c>
      <c r="K27" s="237"/>
      <c r="L27" s="237">
        <f t="shared" si="0"/>
        <v>9.5699999999999985</v>
      </c>
      <c r="M27" s="111"/>
      <c r="N27" s="111"/>
      <c r="O27" s="111"/>
      <c r="P27" s="111"/>
    </row>
    <row r="28" spans="1:16" x14ac:dyDescent="0.3">
      <c r="C28" s="114"/>
      <c r="D28" s="233" t="s">
        <v>442</v>
      </c>
      <c r="E28" s="234" t="s">
        <v>0</v>
      </c>
      <c r="F28" s="235">
        <v>1</v>
      </c>
      <c r="G28" s="236">
        <v>3.3</v>
      </c>
      <c r="H28" s="236"/>
      <c r="I28" s="236">
        <v>2.9</v>
      </c>
      <c r="J28" s="235">
        <v>2</v>
      </c>
      <c r="K28" s="237"/>
      <c r="L28" s="237">
        <f t="shared" si="0"/>
        <v>19.139999999999997</v>
      </c>
      <c r="M28" s="111"/>
      <c r="N28" s="111"/>
      <c r="O28" s="111"/>
      <c r="P28" s="111"/>
    </row>
    <row r="29" spans="1:16" x14ac:dyDescent="0.3">
      <c r="C29" s="114"/>
      <c r="D29" s="233" t="s">
        <v>443</v>
      </c>
      <c r="E29" s="234" t="s">
        <v>0</v>
      </c>
      <c r="F29" s="235">
        <v>1</v>
      </c>
      <c r="G29" s="236">
        <v>3.3</v>
      </c>
      <c r="H29" s="236"/>
      <c r="I29" s="236">
        <v>2.9</v>
      </c>
      <c r="J29" s="235">
        <v>1</v>
      </c>
      <c r="K29" s="237"/>
      <c r="L29" s="237">
        <f t="shared" si="0"/>
        <v>9.5699999999999985</v>
      </c>
      <c r="M29" s="111"/>
      <c r="N29" s="111"/>
      <c r="O29" s="111"/>
      <c r="P29" s="111"/>
    </row>
    <row r="30" spans="1:16" x14ac:dyDescent="0.3">
      <c r="C30" s="106"/>
      <c r="D30" s="232" t="s">
        <v>444</v>
      </c>
      <c r="E30" s="228"/>
      <c r="F30" s="229"/>
      <c r="G30" s="230"/>
      <c r="H30" s="230"/>
      <c r="I30" s="230"/>
      <c r="J30" s="229"/>
      <c r="K30" s="231"/>
      <c r="L30" s="231"/>
      <c r="M30" s="113"/>
      <c r="N30" s="113"/>
      <c r="O30" s="113"/>
      <c r="P30" s="113"/>
    </row>
    <row r="31" spans="1:16" x14ac:dyDescent="0.3">
      <c r="C31" s="114"/>
      <c r="D31" s="238" t="s">
        <v>445</v>
      </c>
      <c r="E31" s="234" t="s">
        <v>0</v>
      </c>
      <c r="F31" s="235">
        <v>2</v>
      </c>
      <c r="G31" s="236">
        <v>1.1499999999999999</v>
      </c>
      <c r="H31" s="236"/>
      <c r="I31" s="236">
        <v>1.95</v>
      </c>
      <c r="J31" s="235">
        <v>1</v>
      </c>
      <c r="K31" s="237"/>
      <c r="L31" s="237">
        <f t="shared" ref="L31" si="1">IF(F31="","",PRODUCT(F31:J31))</f>
        <v>4.4849999999999994</v>
      </c>
      <c r="M31" s="111"/>
      <c r="N31" s="111"/>
      <c r="O31" s="111"/>
      <c r="P31" s="111"/>
    </row>
    <row r="32" spans="1:16" x14ac:dyDescent="0.3">
      <c r="C32" s="114"/>
      <c r="D32" s="232" t="s">
        <v>446</v>
      </c>
      <c r="E32" s="234"/>
      <c r="F32" s="235"/>
      <c r="G32" s="236"/>
      <c r="H32" s="236"/>
      <c r="I32" s="236"/>
      <c r="J32" s="235"/>
      <c r="K32" s="237"/>
      <c r="L32" s="237"/>
      <c r="M32" s="111"/>
      <c r="N32" s="111"/>
      <c r="O32" s="111"/>
      <c r="P32" s="111"/>
    </row>
    <row r="33" spans="3:16" x14ac:dyDescent="0.3">
      <c r="C33" s="114"/>
      <c r="D33" s="238" t="s">
        <v>447</v>
      </c>
      <c r="E33" s="239" t="s">
        <v>0</v>
      </c>
      <c r="F33" s="240">
        <v>4</v>
      </c>
      <c r="G33" s="241">
        <v>0.95</v>
      </c>
      <c r="H33" s="241"/>
      <c r="I33" s="241">
        <v>2.95</v>
      </c>
      <c r="J33" s="242">
        <v>1</v>
      </c>
      <c r="K33" s="237"/>
      <c r="L33" s="237">
        <f>PRODUCT(F33:J33)</f>
        <v>11.21</v>
      </c>
      <c r="M33" s="111"/>
      <c r="N33" s="111"/>
      <c r="O33" s="111"/>
      <c r="P33" s="111"/>
    </row>
    <row r="34" spans="3:16" x14ac:dyDescent="0.3">
      <c r="C34" s="114"/>
      <c r="D34" s="238" t="s">
        <v>447</v>
      </c>
      <c r="E34" s="239" t="s">
        <v>0</v>
      </c>
      <c r="F34" s="240">
        <v>8</v>
      </c>
      <c r="G34" s="241">
        <v>1.41</v>
      </c>
      <c r="H34" s="241"/>
      <c r="I34" s="241">
        <v>2.95</v>
      </c>
      <c r="J34" s="242">
        <v>1</v>
      </c>
      <c r="K34" s="237"/>
      <c r="L34" s="237">
        <f>PRODUCT(F34:J34)</f>
        <v>33.276000000000003</v>
      </c>
      <c r="M34" s="111"/>
      <c r="N34" s="111"/>
      <c r="O34" s="111"/>
      <c r="P34" s="111"/>
    </row>
    <row r="35" spans="3:16" x14ac:dyDescent="0.3">
      <c r="C35" s="114"/>
      <c r="D35" s="238" t="s">
        <v>447</v>
      </c>
      <c r="E35" s="239" t="s">
        <v>0</v>
      </c>
      <c r="F35" s="240">
        <v>12</v>
      </c>
      <c r="G35" s="241">
        <v>0.55000000000000004</v>
      </c>
      <c r="H35" s="241"/>
      <c r="I35" s="241">
        <v>1.05</v>
      </c>
      <c r="J35" s="242">
        <v>1</v>
      </c>
      <c r="K35" s="237"/>
      <c r="L35" s="237">
        <f>PRODUCT(F35:J35)</f>
        <v>6.9300000000000006</v>
      </c>
      <c r="M35" s="111"/>
      <c r="N35" s="111"/>
      <c r="O35" s="111"/>
      <c r="P35" s="111"/>
    </row>
    <row r="36" spans="3:16" x14ac:dyDescent="0.3">
      <c r="C36" s="114"/>
      <c r="D36" s="238" t="s">
        <v>448</v>
      </c>
      <c r="E36" s="239" t="s">
        <v>0</v>
      </c>
      <c r="F36" s="240">
        <v>2</v>
      </c>
      <c r="G36" s="241">
        <v>0.3</v>
      </c>
      <c r="H36" s="241"/>
      <c r="I36" s="241">
        <v>2.1</v>
      </c>
      <c r="J36" s="242">
        <v>1</v>
      </c>
      <c r="K36" s="237"/>
      <c r="L36" s="237">
        <f>PRODUCT(F36:J36)</f>
        <v>1.26</v>
      </c>
      <c r="M36" s="111"/>
      <c r="N36" s="111"/>
      <c r="O36" s="111"/>
      <c r="P36" s="111"/>
    </row>
    <row r="37" spans="3:16" x14ac:dyDescent="0.3">
      <c r="C37" s="114"/>
      <c r="D37" s="238"/>
      <c r="E37" s="239" t="s">
        <v>0</v>
      </c>
      <c r="F37" s="240">
        <v>2</v>
      </c>
      <c r="G37" s="241">
        <v>0.7</v>
      </c>
      <c r="H37" s="241"/>
      <c r="I37" s="241">
        <v>2.1</v>
      </c>
      <c r="J37" s="242">
        <v>1</v>
      </c>
      <c r="K37" s="237"/>
      <c r="L37" s="237">
        <f>PRODUCT(F37:J37)</f>
        <v>2.94</v>
      </c>
      <c r="M37" s="111"/>
      <c r="N37" s="111"/>
      <c r="O37" s="111"/>
      <c r="P37" s="111"/>
    </row>
    <row r="38" spans="3:16" x14ac:dyDescent="0.3">
      <c r="C38" s="106"/>
      <c r="D38" s="227" t="s">
        <v>68</v>
      </c>
      <c r="E38" s="228"/>
      <c r="F38" s="229"/>
      <c r="G38" s="230"/>
      <c r="H38" s="230"/>
      <c r="I38" s="230"/>
      <c r="J38" s="229"/>
      <c r="K38" s="231"/>
      <c r="L38" s="231"/>
      <c r="M38" s="113"/>
      <c r="N38" s="113"/>
      <c r="O38" s="113"/>
      <c r="P38" s="113"/>
    </row>
    <row r="39" spans="3:16" x14ac:dyDescent="0.3">
      <c r="C39" s="106"/>
      <c r="D39" s="232" t="s">
        <v>160</v>
      </c>
      <c r="E39" s="228"/>
      <c r="F39" s="229"/>
      <c r="G39" s="230"/>
      <c r="H39" s="230"/>
      <c r="I39" s="230"/>
      <c r="J39" s="229"/>
      <c r="K39" s="231"/>
      <c r="L39" s="231"/>
      <c r="M39" s="113"/>
      <c r="N39" s="113"/>
      <c r="O39" s="113"/>
      <c r="P39" s="113"/>
    </row>
    <row r="40" spans="3:16" x14ac:dyDescent="0.3">
      <c r="C40" s="114"/>
      <c r="D40" s="233" t="s">
        <v>437</v>
      </c>
      <c r="E40" s="234" t="s">
        <v>0</v>
      </c>
      <c r="F40" s="235">
        <v>1</v>
      </c>
      <c r="G40" s="236">
        <v>1.1499999999999999</v>
      </c>
      <c r="H40" s="236"/>
      <c r="I40" s="236">
        <v>2.1</v>
      </c>
      <c r="J40" s="235">
        <v>1</v>
      </c>
      <c r="K40" s="237"/>
      <c r="L40" s="237">
        <f t="shared" ref="L40:L46" si="2">IF(F40="","",PRODUCT(F40:J40))</f>
        <v>2.415</v>
      </c>
      <c r="M40" s="111"/>
      <c r="N40" s="111"/>
      <c r="O40" s="111"/>
      <c r="P40" s="111"/>
    </row>
    <row r="41" spans="3:16" x14ac:dyDescent="0.3">
      <c r="C41" s="114"/>
      <c r="D41" s="233" t="s">
        <v>438</v>
      </c>
      <c r="E41" s="234" t="s">
        <v>0</v>
      </c>
      <c r="F41" s="235">
        <v>1</v>
      </c>
      <c r="G41" s="236">
        <v>3.65</v>
      </c>
      <c r="H41" s="236"/>
      <c r="I41" s="236">
        <v>2.1</v>
      </c>
      <c r="J41" s="235">
        <v>1</v>
      </c>
      <c r="K41" s="237"/>
      <c r="L41" s="237">
        <f t="shared" si="2"/>
        <v>7.665</v>
      </c>
      <c r="M41" s="111"/>
      <c r="N41" s="111"/>
      <c r="O41" s="111"/>
      <c r="P41" s="111"/>
    </row>
    <row r="42" spans="3:16" x14ac:dyDescent="0.3">
      <c r="C42" s="114"/>
      <c r="D42" s="233" t="s">
        <v>439</v>
      </c>
      <c r="E42" s="234" t="s">
        <v>0</v>
      </c>
      <c r="F42" s="235">
        <v>1</v>
      </c>
      <c r="G42" s="236">
        <v>1.1499999999999999</v>
      </c>
      <c r="H42" s="236"/>
      <c r="I42" s="236">
        <v>2.1</v>
      </c>
      <c r="J42" s="235">
        <v>1</v>
      </c>
      <c r="K42" s="237"/>
      <c r="L42" s="237">
        <f t="shared" si="2"/>
        <v>2.415</v>
      </c>
      <c r="M42" s="111"/>
      <c r="N42" s="111"/>
      <c r="O42" s="111"/>
      <c r="P42" s="111"/>
    </row>
    <row r="43" spans="3:16" x14ac:dyDescent="0.3">
      <c r="C43" s="114"/>
      <c r="D43" s="233" t="s">
        <v>440</v>
      </c>
      <c r="E43" s="234" t="s">
        <v>0</v>
      </c>
      <c r="F43" s="235">
        <v>1</v>
      </c>
      <c r="G43" s="236">
        <v>3.65</v>
      </c>
      <c r="H43" s="236"/>
      <c r="I43" s="236">
        <v>2.1</v>
      </c>
      <c r="J43" s="235">
        <v>1</v>
      </c>
      <c r="K43" s="237"/>
      <c r="L43" s="237">
        <f t="shared" si="2"/>
        <v>7.665</v>
      </c>
      <c r="M43" s="111"/>
      <c r="N43" s="111"/>
      <c r="O43" s="111"/>
      <c r="P43" s="111"/>
    </row>
    <row r="44" spans="3:16" x14ac:dyDescent="0.3">
      <c r="C44" s="114"/>
      <c r="D44" s="233" t="s">
        <v>441</v>
      </c>
      <c r="E44" s="234" t="s">
        <v>0</v>
      </c>
      <c r="F44" s="235">
        <v>1</v>
      </c>
      <c r="G44" s="236">
        <v>3.3</v>
      </c>
      <c r="H44" s="236"/>
      <c r="I44" s="236">
        <v>2.9</v>
      </c>
      <c r="J44" s="235">
        <v>1</v>
      </c>
      <c r="K44" s="237"/>
      <c r="L44" s="237">
        <f t="shared" si="2"/>
        <v>9.5699999999999985</v>
      </c>
      <c r="M44" s="111"/>
      <c r="N44" s="111"/>
      <c r="O44" s="111"/>
      <c r="P44" s="111"/>
    </row>
    <row r="45" spans="3:16" x14ac:dyDescent="0.3">
      <c r="C45" s="114"/>
      <c r="D45" s="233" t="s">
        <v>442</v>
      </c>
      <c r="E45" s="234" t="s">
        <v>0</v>
      </c>
      <c r="F45" s="235">
        <v>1</v>
      </c>
      <c r="G45" s="236">
        <v>3.3</v>
      </c>
      <c r="H45" s="236"/>
      <c r="I45" s="236">
        <v>2.9</v>
      </c>
      <c r="J45" s="235">
        <v>2</v>
      </c>
      <c r="K45" s="237"/>
      <c r="L45" s="237">
        <f t="shared" si="2"/>
        <v>19.139999999999997</v>
      </c>
      <c r="M45" s="111"/>
      <c r="N45" s="111"/>
      <c r="O45" s="111"/>
      <c r="P45" s="111"/>
    </row>
    <row r="46" spans="3:16" x14ac:dyDescent="0.3">
      <c r="C46" s="114"/>
      <c r="D46" s="233" t="s">
        <v>443</v>
      </c>
      <c r="E46" s="234" t="s">
        <v>0</v>
      </c>
      <c r="F46" s="235">
        <v>1</v>
      </c>
      <c r="G46" s="236">
        <v>3.3</v>
      </c>
      <c r="H46" s="236"/>
      <c r="I46" s="236">
        <v>2.9</v>
      </c>
      <c r="J46" s="235">
        <v>1</v>
      </c>
      <c r="K46" s="237"/>
      <c r="L46" s="237">
        <f t="shared" si="2"/>
        <v>9.5699999999999985</v>
      </c>
      <c r="M46" s="111"/>
      <c r="N46" s="111"/>
      <c r="O46" s="111"/>
      <c r="P46" s="111"/>
    </row>
    <row r="47" spans="3:16" x14ac:dyDescent="0.3">
      <c r="C47" s="114"/>
      <c r="D47" s="232" t="s">
        <v>444</v>
      </c>
      <c r="E47" s="228"/>
      <c r="F47" s="229"/>
      <c r="G47" s="230"/>
      <c r="H47" s="230"/>
      <c r="I47" s="230"/>
      <c r="J47" s="229"/>
      <c r="K47" s="231"/>
      <c r="L47" s="231"/>
      <c r="M47" s="111"/>
      <c r="N47" s="111"/>
      <c r="O47" s="111"/>
      <c r="P47" s="111"/>
    </row>
    <row r="48" spans="3:16" x14ac:dyDescent="0.3">
      <c r="C48" s="114"/>
      <c r="D48" s="238" t="s">
        <v>445</v>
      </c>
      <c r="E48" s="234" t="s">
        <v>0</v>
      </c>
      <c r="F48" s="235">
        <v>2</v>
      </c>
      <c r="G48" s="236">
        <v>1.1499999999999999</v>
      </c>
      <c r="H48" s="236"/>
      <c r="I48" s="236">
        <v>1.95</v>
      </c>
      <c r="J48" s="235">
        <v>1</v>
      </c>
      <c r="K48" s="237"/>
      <c r="L48" s="237">
        <f t="shared" ref="L48" si="3">IF(F48="","",PRODUCT(F48:J48))</f>
        <v>4.4849999999999994</v>
      </c>
      <c r="M48" s="111"/>
      <c r="N48" s="111"/>
      <c r="O48" s="111"/>
      <c r="P48" s="111"/>
    </row>
    <row r="49" spans="3:16" x14ac:dyDescent="0.3">
      <c r="C49" s="114"/>
      <c r="D49" s="232" t="s">
        <v>446</v>
      </c>
      <c r="E49" s="234"/>
      <c r="F49" s="235"/>
      <c r="G49" s="236"/>
      <c r="H49" s="236"/>
      <c r="I49" s="236"/>
      <c r="J49" s="235"/>
      <c r="K49" s="237"/>
      <c r="L49" s="237"/>
      <c r="M49" s="111"/>
      <c r="N49" s="111"/>
      <c r="O49" s="111"/>
      <c r="P49" s="111"/>
    </row>
    <row r="50" spans="3:16" x14ac:dyDescent="0.3">
      <c r="C50" s="114"/>
      <c r="D50" s="238" t="s">
        <v>447</v>
      </c>
      <c r="E50" s="239" t="s">
        <v>0</v>
      </c>
      <c r="F50" s="240">
        <v>4</v>
      </c>
      <c r="G50" s="241">
        <v>0.95</v>
      </c>
      <c r="H50" s="241"/>
      <c r="I50" s="241">
        <v>2.95</v>
      </c>
      <c r="J50" s="242">
        <v>1</v>
      </c>
      <c r="K50" s="237"/>
      <c r="L50" s="237">
        <f>PRODUCT(F50:J50)</f>
        <v>11.21</v>
      </c>
      <c r="M50" s="111"/>
      <c r="N50" s="111"/>
      <c r="O50" s="111"/>
      <c r="P50" s="111"/>
    </row>
    <row r="51" spans="3:16" x14ac:dyDescent="0.3">
      <c r="C51" s="114"/>
      <c r="D51" s="238" t="s">
        <v>447</v>
      </c>
      <c r="E51" s="239" t="s">
        <v>0</v>
      </c>
      <c r="F51" s="240">
        <v>8</v>
      </c>
      <c r="G51" s="241">
        <v>1.41</v>
      </c>
      <c r="H51" s="241"/>
      <c r="I51" s="241">
        <v>2.95</v>
      </c>
      <c r="J51" s="242">
        <v>1</v>
      </c>
      <c r="K51" s="237"/>
      <c r="L51" s="237">
        <f>PRODUCT(F51:J51)</f>
        <v>33.276000000000003</v>
      </c>
      <c r="M51" s="111"/>
      <c r="N51" s="111"/>
      <c r="O51" s="111"/>
      <c r="P51" s="111"/>
    </row>
    <row r="52" spans="3:16" x14ac:dyDescent="0.3">
      <c r="C52" s="114"/>
      <c r="D52" s="238" t="s">
        <v>448</v>
      </c>
      <c r="E52" s="239" t="s">
        <v>0</v>
      </c>
      <c r="F52" s="240">
        <v>2</v>
      </c>
      <c r="G52" s="241">
        <v>0.3</v>
      </c>
      <c r="H52" s="241"/>
      <c r="I52" s="241">
        <v>2.1</v>
      </c>
      <c r="J52" s="242">
        <v>1</v>
      </c>
      <c r="K52" s="237"/>
      <c r="L52" s="237">
        <f>PRODUCT(F52:J52)</f>
        <v>1.26</v>
      </c>
      <c r="M52" s="111"/>
      <c r="N52" s="111"/>
      <c r="O52" s="111"/>
      <c r="P52" s="111"/>
    </row>
    <row r="53" spans="3:16" x14ac:dyDescent="0.3">
      <c r="C53" s="114"/>
      <c r="D53" s="238"/>
      <c r="E53" s="239" t="s">
        <v>0</v>
      </c>
      <c r="F53" s="240">
        <v>2</v>
      </c>
      <c r="G53" s="241">
        <v>0.7</v>
      </c>
      <c r="H53" s="241"/>
      <c r="I53" s="241">
        <v>2.1</v>
      </c>
      <c r="J53" s="242">
        <v>1</v>
      </c>
      <c r="K53" s="237"/>
      <c r="L53" s="237">
        <f>PRODUCT(F53:J53)</f>
        <v>2.94</v>
      </c>
      <c r="M53" s="111"/>
      <c r="N53" s="111"/>
      <c r="O53" s="111"/>
      <c r="P53" s="111"/>
    </row>
    <row r="54" spans="3:16" x14ac:dyDescent="0.3">
      <c r="C54" s="106"/>
      <c r="D54" s="227" t="s">
        <v>106</v>
      </c>
      <c r="E54" s="228"/>
      <c r="F54" s="229"/>
      <c r="G54" s="230"/>
      <c r="H54" s="230"/>
      <c r="I54" s="230"/>
      <c r="J54" s="229"/>
      <c r="K54" s="231"/>
      <c r="L54" s="231"/>
      <c r="M54" s="113"/>
      <c r="N54" s="113"/>
      <c r="O54" s="113"/>
      <c r="P54" s="113"/>
    </row>
    <row r="55" spans="3:16" x14ac:dyDescent="0.3">
      <c r="C55" s="106"/>
      <c r="D55" s="232" t="s">
        <v>160</v>
      </c>
      <c r="E55" s="228"/>
      <c r="F55" s="229"/>
      <c r="G55" s="230"/>
      <c r="H55" s="230"/>
      <c r="I55" s="230"/>
      <c r="J55" s="229"/>
      <c r="K55" s="231"/>
      <c r="L55" s="231"/>
      <c r="M55" s="113"/>
      <c r="N55" s="113"/>
      <c r="O55" s="113"/>
      <c r="P55" s="113"/>
    </row>
    <row r="56" spans="3:16" x14ac:dyDescent="0.3">
      <c r="C56" s="114"/>
      <c r="D56" s="233" t="s">
        <v>437</v>
      </c>
      <c r="E56" s="234" t="s">
        <v>0</v>
      </c>
      <c r="F56" s="235">
        <v>1</v>
      </c>
      <c r="G56" s="236">
        <v>1.1499999999999999</v>
      </c>
      <c r="H56" s="236"/>
      <c r="I56" s="236">
        <v>2.1</v>
      </c>
      <c r="J56" s="235">
        <v>1</v>
      </c>
      <c r="K56" s="237"/>
      <c r="L56" s="237">
        <f t="shared" ref="L56:L62" si="4">IF(F56="","",PRODUCT(F56:J56))</f>
        <v>2.415</v>
      </c>
      <c r="M56" s="111"/>
      <c r="N56" s="111"/>
      <c r="O56" s="111"/>
      <c r="P56" s="111"/>
    </row>
    <row r="57" spans="3:16" x14ac:dyDescent="0.3">
      <c r="C57" s="114"/>
      <c r="D57" s="233" t="s">
        <v>438</v>
      </c>
      <c r="E57" s="234" t="s">
        <v>0</v>
      </c>
      <c r="F57" s="235">
        <v>1</v>
      </c>
      <c r="G57" s="236">
        <v>3.65</v>
      </c>
      <c r="H57" s="236"/>
      <c r="I57" s="236">
        <v>2.1</v>
      </c>
      <c r="J57" s="235">
        <v>1</v>
      </c>
      <c r="K57" s="237"/>
      <c r="L57" s="237">
        <f t="shared" si="4"/>
        <v>7.665</v>
      </c>
      <c r="M57" s="111"/>
      <c r="N57" s="111"/>
      <c r="O57" s="111"/>
      <c r="P57" s="111"/>
    </row>
    <row r="58" spans="3:16" x14ac:dyDescent="0.3">
      <c r="C58" s="114"/>
      <c r="D58" s="233" t="s">
        <v>439</v>
      </c>
      <c r="E58" s="234" t="s">
        <v>0</v>
      </c>
      <c r="F58" s="235">
        <v>1</v>
      </c>
      <c r="G58" s="236">
        <v>1.1499999999999999</v>
      </c>
      <c r="H58" s="236"/>
      <c r="I58" s="236">
        <v>2.1</v>
      </c>
      <c r="J58" s="235">
        <v>1</v>
      </c>
      <c r="K58" s="237"/>
      <c r="L58" s="237">
        <f t="shared" si="4"/>
        <v>2.415</v>
      </c>
      <c r="M58" s="111"/>
      <c r="N58" s="111"/>
      <c r="O58" s="111"/>
      <c r="P58" s="111"/>
    </row>
    <row r="59" spans="3:16" x14ac:dyDescent="0.3">
      <c r="C59" s="114"/>
      <c r="D59" s="233" t="s">
        <v>440</v>
      </c>
      <c r="E59" s="234" t="s">
        <v>0</v>
      </c>
      <c r="F59" s="235">
        <v>1</v>
      </c>
      <c r="G59" s="236">
        <v>3.65</v>
      </c>
      <c r="H59" s="236"/>
      <c r="I59" s="236">
        <v>2.1</v>
      </c>
      <c r="J59" s="235">
        <v>1</v>
      </c>
      <c r="K59" s="237"/>
      <c r="L59" s="237">
        <f t="shared" si="4"/>
        <v>7.665</v>
      </c>
      <c r="M59" s="111"/>
      <c r="N59" s="111"/>
      <c r="O59" s="111"/>
      <c r="P59" s="111"/>
    </row>
    <row r="60" spans="3:16" x14ac:dyDescent="0.3">
      <c r="C60" s="114"/>
      <c r="D60" s="233" t="s">
        <v>441</v>
      </c>
      <c r="E60" s="234" t="s">
        <v>0</v>
      </c>
      <c r="F60" s="235">
        <v>1</v>
      </c>
      <c r="G60" s="236">
        <v>3.3</v>
      </c>
      <c r="H60" s="236"/>
      <c r="I60" s="236">
        <v>2.9</v>
      </c>
      <c r="J60" s="235">
        <v>1</v>
      </c>
      <c r="K60" s="237"/>
      <c r="L60" s="237">
        <f t="shared" si="4"/>
        <v>9.5699999999999985</v>
      </c>
      <c r="M60" s="111"/>
      <c r="N60" s="111"/>
      <c r="O60" s="111"/>
      <c r="P60" s="111"/>
    </row>
    <row r="61" spans="3:16" x14ac:dyDescent="0.3">
      <c r="C61" s="114"/>
      <c r="D61" s="233" t="s">
        <v>442</v>
      </c>
      <c r="E61" s="234" t="s">
        <v>0</v>
      </c>
      <c r="F61" s="235">
        <v>1</v>
      </c>
      <c r="G61" s="236">
        <v>3.3</v>
      </c>
      <c r="H61" s="236"/>
      <c r="I61" s="236">
        <v>2.9</v>
      </c>
      <c r="J61" s="235">
        <v>2</v>
      </c>
      <c r="K61" s="237"/>
      <c r="L61" s="237">
        <f t="shared" si="4"/>
        <v>19.139999999999997</v>
      </c>
      <c r="M61" s="111"/>
      <c r="N61" s="111"/>
      <c r="O61" s="111"/>
      <c r="P61" s="111"/>
    </row>
    <row r="62" spans="3:16" x14ac:dyDescent="0.3">
      <c r="C62" s="114"/>
      <c r="D62" s="233" t="s">
        <v>443</v>
      </c>
      <c r="E62" s="234" t="s">
        <v>0</v>
      </c>
      <c r="F62" s="235">
        <v>1</v>
      </c>
      <c r="G62" s="236">
        <v>3.3</v>
      </c>
      <c r="H62" s="236"/>
      <c r="I62" s="236">
        <v>2.9</v>
      </c>
      <c r="J62" s="235">
        <v>1</v>
      </c>
      <c r="K62" s="237"/>
      <c r="L62" s="237">
        <f t="shared" si="4"/>
        <v>9.5699999999999985</v>
      </c>
      <c r="M62" s="111"/>
      <c r="N62" s="111"/>
      <c r="O62" s="111"/>
      <c r="P62" s="111"/>
    </row>
    <row r="63" spans="3:16" x14ac:dyDescent="0.3">
      <c r="C63" s="114"/>
      <c r="D63" s="232" t="s">
        <v>444</v>
      </c>
      <c r="E63" s="228"/>
      <c r="F63" s="229"/>
      <c r="G63" s="230"/>
      <c r="H63" s="230"/>
      <c r="I63" s="230"/>
      <c r="J63" s="229"/>
      <c r="K63" s="231"/>
      <c r="L63" s="231"/>
      <c r="M63" s="111"/>
      <c r="N63" s="111"/>
      <c r="O63" s="111"/>
      <c r="P63" s="111"/>
    </row>
    <row r="64" spans="3:16" x14ac:dyDescent="0.3">
      <c r="C64" s="114"/>
      <c r="D64" s="238" t="s">
        <v>445</v>
      </c>
      <c r="E64" s="234" t="s">
        <v>0</v>
      </c>
      <c r="F64" s="235">
        <v>2</v>
      </c>
      <c r="G64" s="236">
        <v>1.1499999999999999</v>
      </c>
      <c r="H64" s="236"/>
      <c r="I64" s="236">
        <v>1.95</v>
      </c>
      <c r="J64" s="235">
        <v>1</v>
      </c>
      <c r="K64" s="237"/>
      <c r="L64" s="237">
        <f t="shared" ref="L64" si="5">IF(F64="","",PRODUCT(F64:J64))</f>
        <v>4.4849999999999994</v>
      </c>
      <c r="M64" s="111"/>
      <c r="N64" s="111"/>
      <c r="O64" s="111"/>
      <c r="P64" s="111"/>
    </row>
    <row r="65" spans="3:16" x14ac:dyDescent="0.3">
      <c r="C65" s="114"/>
      <c r="D65" s="232" t="s">
        <v>446</v>
      </c>
      <c r="E65" s="234"/>
      <c r="F65" s="235"/>
      <c r="G65" s="236"/>
      <c r="H65" s="236"/>
      <c r="I65" s="236"/>
      <c r="J65" s="235"/>
      <c r="K65" s="237"/>
      <c r="L65" s="237"/>
      <c r="M65" s="111"/>
      <c r="N65" s="111"/>
      <c r="O65" s="111"/>
      <c r="P65" s="111"/>
    </row>
    <row r="66" spans="3:16" x14ac:dyDescent="0.3">
      <c r="C66" s="114"/>
      <c r="D66" s="238" t="s">
        <v>447</v>
      </c>
      <c r="E66" s="239" t="s">
        <v>0</v>
      </c>
      <c r="F66" s="240">
        <v>4</v>
      </c>
      <c r="G66" s="241">
        <v>0.95</v>
      </c>
      <c r="H66" s="241"/>
      <c r="I66" s="241">
        <v>2.95</v>
      </c>
      <c r="J66" s="242">
        <v>1</v>
      </c>
      <c r="K66" s="237"/>
      <c r="L66" s="237">
        <f>PRODUCT(F66:J66)</f>
        <v>11.21</v>
      </c>
      <c r="M66" s="111"/>
      <c r="N66" s="111"/>
      <c r="O66" s="111"/>
      <c r="P66" s="111"/>
    </row>
    <row r="67" spans="3:16" x14ac:dyDescent="0.3">
      <c r="C67" s="114"/>
      <c r="D67" s="238" t="s">
        <v>447</v>
      </c>
      <c r="E67" s="239" t="s">
        <v>0</v>
      </c>
      <c r="F67" s="240">
        <v>8</v>
      </c>
      <c r="G67" s="241">
        <v>1.41</v>
      </c>
      <c r="H67" s="241"/>
      <c r="I67" s="241">
        <v>2.95</v>
      </c>
      <c r="J67" s="242">
        <v>1</v>
      </c>
      <c r="K67" s="237"/>
      <c r="L67" s="237">
        <f>PRODUCT(F67:J67)</f>
        <v>33.276000000000003</v>
      </c>
      <c r="M67" s="111"/>
      <c r="N67" s="111"/>
      <c r="O67" s="111"/>
      <c r="P67" s="111"/>
    </row>
    <row r="68" spans="3:16" x14ac:dyDescent="0.3">
      <c r="C68" s="114"/>
      <c r="D68" s="238" t="s">
        <v>449</v>
      </c>
      <c r="E68" s="239" t="s">
        <v>0</v>
      </c>
      <c r="F68" s="240">
        <v>12</v>
      </c>
      <c r="G68" s="241">
        <v>0.55000000000000004</v>
      </c>
      <c r="H68" s="241"/>
      <c r="I68" s="241">
        <v>0.45</v>
      </c>
      <c r="J68" s="242">
        <v>1</v>
      </c>
      <c r="K68" s="237"/>
      <c r="L68" s="237">
        <f>PRODUCT(F68:J68)</f>
        <v>2.97</v>
      </c>
      <c r="M68" s="111"/>
      <c r="N68" s="111"/>
      <c r="O68" s="111"/>
      <c r="P68" s="111"/>
    </row>
    <row r="69" spans="3:16" x14ac:dyDescent="0.3">
      <c r="C69" s="114"/>
      <c r="D69" s="238" t="s">
        <v>448</v>
      </c>
      <c r="E69" s="239" t="s">
        <v>0</v>
      </c>
      <c r="F69" s="240">
        <v>2</v>
      </c>
      <c r="G69" s="241">
        <v>0.3</v>
      </c>
      <c r="H69" s="241"/>
      <c r="I69" s="241">
        <v>2.1</v>
      </c>
      <c r="J69" s="242">
        <v>1</v>
      </c>
      <c r="K69" s="237"/>
      <c r="L69" s="237">
        <f>PRODUCT(F69:J69)</f>
        <v>1.26</v>
      </c>
      <c r="M69" s="111"/>
      <c r="N69" s="111"/>
      <c r="O69" s="111"/>
      <c r="P69" s="111"/>
    </row>
    <row r="70" spans="3:16" x14ac:dyDescent="0.3">
      <c r="C70" s="114"/>
      <c r="D70" s="238"/>
      <c r="E70" s="239" t="s">
        <v>0</v>
      </c>
      <c r="F70" s="240">
        <v>2</v>
      </c>
      <c r="G70" s="241">
        <v>0.7</v>
      </c>
      <c r="H70" s="241"/>
      <c r="I70" s="241">
        <v>2.1</v>
      </c>
      <c r="J70" s="242">
        <v>1</v>
      </c>
      <c r="K70" s="237"/>
      <c r="L70" s="237">
        <f>PRODUCT(F70:J70)</f>
        <v>2.94</v>
      </c>
      <c r="M70" s="111"/>
      <c r="N70" s="111"/>
      <c r="O70" s="111"/>
      <c r="P70" s="111"/>
    </row>
    <row r="71" spans="3:16" x14ac:dyDescent="0.3">
      <c r="C71" s="106"/>
      <c r="D71" s="227" t="s">
        <v>52</v>
      </c>
      <c r="E71" s="228"/>
      <c r="F71" s="229"/>
      <c r="G71" s="230"/>
      <c r="H71" s="230"/>
      <c r="I71" s="230"/>
      <c r="J71" s="229"/>
      <c r="K71" s="231"/>
      <c r="L71" s="231"/>
      <c r="M71" s="113"/>
      <c r="N71" s="113"/>
      <c r="O71" s="113"/>
      <c r="P71" s="113"/>
    </row>
    <row r="72" spans="3:16" x14ac:dyDescent="0.3">
      <c r="C72" s="106"/>
      <c r="D72" s="232" t="s">
        <v>160</v>
      </c>
      <c r="E72" s="228"/>
      <c r="F72" s="229"/>
      <c r="G72" s="230"/>
      <c r="H72" s="230"/>
      <c r="I72" s="230"/>
      <c r="J72" s="229"/>
      <c r="K72" s="231"/>
      <c r="L72" s="231"/>
      <c r="M72" s="113"/>
      <c r="N72" s="113"/>
      <c r="O72" s="113"/>
      <c r="P72" s="113"/>
    </row>
    <row r="73" spans="3:16" x14ac:dyDescent="0.3">
      <c r="C73" s="114"/>
      <c r="D73" s="233" t="s">
        <v>450</v>
      </c>
      <c r="E73" s="234" t="s">
        <v>0</v>
      </c>
      <c r="F73" s="235">
        <v>4</v>
      </c>
      <c r="G73" s="236" t="s">
        <v>156</v>
      </c>
      <c r="H73" s="236"/>
      <c r="I73" s="236">
        <v>0.56999999999999995</v>
      </c>
      <c r="J73" s="235">
        <v>1</v>
      </c>
      <c r="K73" s="237"/>
      <c r="L73" s="237">
        <f t="shared" ref="L73:L74" si="6">IF(F73="","",PRODUCT(F73:J73))</f>
        <v>2.2799999999999998</v>
      </c>
      <c r="M73" s="111"/>
      <c r="N73" s="111"/>
      <c r="O73" s="111"/>
      <c r="P73" s="111"/>
    </row>
    <row r="74" spans="3:16" x14ac:dyDescent="0.3">
      <c r="C74" s="114"/>
      <c r="D74" s="233" t="s">
        <v>451</v>
      </c>
      <c r="E74" s="234" t="s">
        <v>0</v>
      </c>
      <c r="F74" s="235">
        <v>4</v>
      </c>
      <c r="G74" s="236" t="s">
        <v>156</v>
      </c>
      <c r="H74" s="236"/>
      <c r="I74" s="236">
        <v>0.56999999999999995</v>
      </c>
      <c r="J74" s="235">
        <v>1</v>
      </c>
      <c r="K74" s="237"/>
      <c r="L74" s="237">
        <f t="shared" si="6"/>
        <v>2.2799999999999998</v>
      </c>
      <c r="M74" s="111"/>
      <c r="N74" s="111"/>
      <c r="O74" s="111"/>
      <c r="P74" s="111"/>
    </row>
    <row r="75" spans="3:16" x14ac:dyDescent="0.3">
      <c r="C75" s="114"/>
      <c r="D75" s="243"/>
      <c r="E75" s="244"/>
      <c r="F75" s="245"/>
      <c r="G75" s="246"/>
      <c r="H75" s="246"/>
      <c r="I75" s="246"/>
      <c r="J75" s="245"/>
      <c r="K75" s="247"/>
      <c r="L75" s="247"/>
      <c r="M75" s="111"/>
      <c r="N75" s="111"/>
      <c r="O75" s="111"/>
      <c r="P75" s="111"/>
    </row>
    <row r="76" spans="3:16" x14ac:dyDescent="0.3">
      <c r="C76" s="99" t="s">
        <v>1181</v>
      </c>
      <c r="D76" s="226" t="s">
        <v>521</v>
      </c>
      <c r="E76" s="101" t="s">
        <v>0</v>
      </c>
      <c r="F76" s="1"/>
      <c r="G76" s="2"/>
      <c r="H76" s="2"/>
      <c r="I76" s="2"/>
      <c r="J76" s="3"/>
      <c r="K76" s="103"/>
      <c r="L76" s="103"/>
      <c r="M76" s="103"/>
      <c r="N76" s="103"/>
      <c r="O76" s="103"/>
      <c r="P76" s="103">
        <f>SUM(L76:L101)</f>
        <v>73.935000000000002</v>
      </c>
    </row>
    <row r="77" spans="3:16" x14ac:dyDescent="0.3">
      <c r="C77" s="106"/>
      <c r="D77" s="115" t="s">
        <v>127</v>
      </c>
      <c r="E77" s="121"/>
      <c r="F77" s="3"/>
      <c r="G77" s="122"/>
      <c r="H77" s="122"/>
      <c r="I77" s="122"/>
      <c r="J77" s="3"/>
      <c r="K77" s="113"/>
      <c r="L77" s="113"/>
      <c r="M77" s="113"/>
      <c r="N77" s="113"/>
      <c r="O77" s="113"/>
      <c r="P77" s="113"/>
    </row>
    <row r="78" spans="3:16" x14ac:dyDescent="0.3">
      <c r="C78" s="114"/>
      <c r="D78" s="137" t="s">
        <v>160</v>
      </c>
      <c r="E78" s="121"/>
      <c r="F78" s="3"/>
      <c r="G78" s="122"/>
      <c r="H78" s="122"/>
      <c r="I78" s="122"/>
      <c r="J78" s="3"/>
      <c r="K78" s="113"/>
      <c r="L78" s="113"/>
      <c r="M78" s="111"/>
      <c r="N78" s="111"/>
      <c r="O78" s="111"/>
      <c r="P78" s="111"/>
    </row>
    <row r="79" spans="3:16" x14ac:dyDescent="0.3">
      <c r="C79" s="114"/>
      <c r="D79" s="233" t="s">
        <v>437</v>
      </c>
      <c r="E79" s="234" t="s">
        <v>0</v>
      </c>
      <c r="F79" s="235">
        <v>1</v>
      </c>
      <c r="G79" s="236">
        <v>1.1499999999999999</v>
      </c>
      <c r="H79" s="236"/>
      <c r="I79" s="236">
        <v>2.1</v>
      </c>
      <c r="J79" s="235">
        <v>1</v>
      </c>
      <c r="K79" s="237"/>
      <c r="L79" s="237">
        <f t="shared" ref="L79:L82" si="7">IF(F79="","",PRODUCT(F79:J79))</f>
        <v>2.415</v>
      </c>
      <c r="M79" s="111"/>
      <c r="N79" s="111"/>
      <c r="O79" s="111"/>
      <c r="P79" s="111"/>
    </row>
    <row r="80" spans="3:16" x14ac:dyDescent="0.3">
      <c r="C80" s="114"/>
      <c r="D80" s="233" t="s">
        <v>438</v>
      </c>
      <c r="E80" s="234" t="s">
        <v>0</v>
      </c>
      <c r="F80" s="235">
        <v>1</v>
      </c>
      <c r="G80" s="236">
        <v>3.65</v>
      </c>
      <c r="H80" s="236"/>
      <c r="I80" s="236">
        <v>2.1</v>
      </c>
      <c r="J80" s="235">
        <v>1</v>
      </c>
      <c r="K80" s="237"/>
      <c r="L80" s="237">
        <f t="shared" si="7"/>
        <v>7.665</v>
      </c>
      <c r="M80" s="111"/>
      <c r="N80" s="111"/>
      <c r="O80" s="111"/>
      <c r="P80" s="111"/>
    </row>
    <row r="81" spans="3:16" x14ac:dyDescent="0.3">
      <c r="C81" s="114"/>
      <c r="D81" s="233" t="s">
        <v>439</v>
      </c>
      <c r="E81" s="234" t="s">
        <v>0</v>
      </c>
      <c r="F81" s="235">
        <v>1</v>
      </c>
      <c r="G81" s="236">
        <v>1.1499999999999999</v>
      </c>
      <c r="H81" s="236"/>
      <c r="I81" s="236">
        <v>2.1</v>
      </c>
      <c r="J81" s="235">
        <v>1</v>
      </c>
      <c r="K81" s="237"/>
      <c r="L81" s="237">
        <f t="shared" si="7"/>
        <v>2.415</v>
      </c>
      <c r="M81" s="111"/>
      <c r="N81" s="111"/>
      <c r="O81" s="111"/>
      <c r="P81" s="111"/>
    </row>
    <row r="82" spans="3:16" x14ac:dyDescent="0.3">
      <c r="C82" s="114"/>
      <c r="D82" s="233" t="s">
        <v>440</v>
      </c>
      <c r="E82" s="234" t="s">
        <v>0</v>
      </c>
      <c r="F82" s="235">
        <v>1</v>
      </c>
      <c r="G82" s="236">
        <v>3.65</v>
      </c>
      <c r="H82" s="236"/>
      <c r="I82" s="236">
        <v>2.1</v>
      </c>
      <c r="J82" s="235">
        <v>1</v>
      </c>
      <c r="K82" s="237"/>
      <c r="L82" s="237">
        <f t="shared" si="7"/>
        <v>7.665</v>
      </c>
      <c r="M82" s="111"/>
      <c r="N82" s="111"/>
      <c r="O82" s="111"/>
      <c r="P82" s="111"/>
    </row>
    <row r="83" spans="3:16" x14ac:dyDescent="0.3">
      <c r="C83" s="114"/>
      <c r="D83" s="137" t="s">
        <v>444</v>
      </c>
      <c r="E83" s="121"/>
      <c r="F83" s="3"/>
      <c r="G83" s="122"/>
      <c r="H83" s="122"/>
      <c r="I83" s="122"/>
      <c r="J83" s="3"/>
      <c r="K83" s="113"/>
      <c r="L83" s="113"/>
      <c r="M83" s="111"/>
      <c r="N83" s="111"/>
      <c r="O83" s="111"/>
      <c r="P83" s="111"/>
    </row>
    <row r="84" spans="3:16" x14ac:dyDescent="0.3">
      <c r="C84" s="114"/>
      <c r="D84" s="238" t="s">
        <v>445</v>
      </c>
      <c r="E84" s="234" t="s">
        <v>0</v>
      </c>
      <c r="F84" s="235">
        <v>2</v>
      </c>
      <c r="G84" s="236">
        <v>1.1499999999999999</v>
      </c>
      <c r="H84" s="236"/>
      <c r="I84" s="236">
        <v>1.95</v>
      </c>
      <c r="J84" s="235">
        <v>1</v>
      </c>
      <c r="K84" s="237"/>
      <c r="L84" s="237">
        <f t="shared" ref="L84" si="8">IF(F84="","",PRODUCT(F84:J84))</f>
        <v>4.4849999999999994</v>
      </c>
      <c r="M84" s="111"/>
      <c r="N84" s="111"/>
      <c r="O84" s="111"/>
      <c r="P84" s="111"/>
    </row>
    <row r="85" spans="3:16" x14ac:dyDescent="0.3">
      <c r="C85" s="114"/>
      <c r="D85" s="115" t="s">
        <v>68</v>
      </c>
      <c r="E85" s="121"/>
      <c r="F85" s="3"/>
      <c r="G85" s="122"/>
      <c r="H85" s="122"/>
      <c r="I85" s="122"/>
      <c r="J85" s="3"/>
      <c r="K85" s="113"/>
      <c r="L85" s="113"/>
      <c r="M85" s="111"/>
      <c r="N85" s="111"/>
      <c r="O85" s="111"/>
      <c r="P85" s="111"/>
    </row>
    <row r="86" spans="3:16" x14ac:dyDescent="0.3">
      <c r="C86" s="106"/>
      <c r="D86" s="137" t="s">
        <v>160</v>
      </c>
      <c r="E86" s="121"/>
      <c r="F86" s="3"/>
      <c r="G86" s="122"/>
      <c r="H86" s="122"/>
      <c r="I86" s="122"/>
      <c r="J86" s="3"/>
      <c r="K86" s="113"/>
      <c r="L86" s="113"/>
      <c r="M86" s="113"/>
      <c r="N86" s="113"/>
      <c r="O86" s="113"/>
      <c r="P86" s="113"/>
    </row>
    <row r="87" spans="3:16" x14ac:dyDescent="0.3">
      <c r="C87" s="114"/>
      <c r="D87" s="233" t="s">
        <v>437</v>
      </c>
      <c r="E87" s="234" t="s">
        <v>0</v>
      </c>
      <c r="F87" s="235">
        <v>1</v>
      </c>
      <c r="G87" s="236">
        <v>1.1499999999999999</v>
      </c>
      <c r="H87" s="236"/>
      <c r="I87" s="236">
        <v>2.1</v>
      </c>
      <c r="J87" s="235">
        <v>1</v>
      </c>
      <c r="K87" s="237"/>
      <c r="L87" s="237">
        <f t="shared" ref="L87:L90" si="9">IF(F87="","",PRODUCT(F87:J87))</f>
        <v>2.415</v>
      </c>
      <c r="M87" s="111"/>
      <c r="N87" s="111"/>
      <c r="O87" s="111"/>
      <c r="P87" s="111"/>
    </row>
    <row r="88" spans="3:16" x14ac:dyDescent="0.3">
      <c r="C88" s="114"/>
      <c r="D88" s="233" t="s">
        <v>438</v>
      </c>
      <c r="E88" s="234" t="s">
        <v>0</v>
      </c>
      <c r="F88" s="235">
        <v>1</v>
      </c>
      <c r="G88" s="236">
        <v>3.65</v>
      </c>
      <c r="H88" s="236"/>
      <c r="I88" s="236">
        <v>2.1</v>
      </c>
      <c r="J88" s="235">
        <v>1</v>
      </c>
      <c r="K88" s="237"/>
      <c r="L88" s="237">
        <f t="shared" si="9"/>
        <v>7.665</v>
      </c>
      <c r="M88" s="111"/>
      <c r="N88" s="111"/>
      <c r="O88" s="111"/>
      <c r="P88" s="111"/>
    </row>
    <row r="89" spans="3:16" x14ac:dyDescent="0.3">
      <c r="C89" s="114"/>
      <c r="D89" s="233" t="s">
        <v>439</v>
      </c>
      <c r="E89" s="234" t="s">
        <v>0</v>
      </c>
      <c r="F89" s="235">
        <v>1</v>
      </c>
      <c r="G89" s="236">
        <v>1.1499999999999999</v>
      </c>
      <c r="H89" s="236"/>
      <c r="I89" s="236">
        <v>2.1</v>
      </c>
      <c r="J89" s="235">
        <v>1</v>
      </c>
      <c r="K89" s="237"/>
      <c r="L89" s="237">
        <f t="shared" si="9"/>
        <v>2.415</v>
      </c>
      <c r="M89" s="111"/>
      <c r="N89" s="111"/>
      <c r="O89" s="111"/>
      <c r="P89" s="111"/>
    </row>
    <row r="90" spans="3:16" x14ac:dyDescent="0.3">
      <c r="C90" s="114"/>
      <c r="D90" s="233" t="s">
        <v>440</v>
      </c>
      <c r="E90" s="234" t="s">
        <v>0</v>
      </c>
      <c r="F90" s="235">
        <v>1</v>
      </c>
      <c r="G90" s="236">
        <v>3.65</v>
      </c>
      <c r="H90" s="236"/>
      <c r="I90" s="236">
        <v>2.1</v>
      </c>
      <c r="J90" s="235">
        <v>1</v>
      </c>
      <c r="K90" s="237"/>
      <c r="L90" s="237">
        <f t="shared" si="9"/>
        <v>7.665</v>
      </c>
      <c r="M90" s="111"/>
      <c r="N90" s="111"/>
      <c r="O90" s="111"/>
      <c r="P90" s="111"/>
    </row>
    <row r="91" spans="3:16" x14ac:dyDescent="0.3">
      <c r="C91" s="114"/>
      <c r="D91" s="137" t="s">
        <v>444</v>
      </c>
      <c r="E91" s="121"/>
      <c r="F91" s="3"/>
      <c r="G91" s="122"/>
      <c r="H91" s="122"/>
      <c r="I91" s="122"/>
      <c r="J91" s="3"/>
      <c r="K91" s="113"/>
      <c r="L91" s="113"/>
      <c r="M91" s="111"/>
      <c r="N91" s="111"/>
      <c r="O91" s="111"/>
      <c r="P91" s="111"/>
    </row>
    <row r="92" spans="3:16" x14ac:dyDescent="0.3">
      <c r="C92" s="114"/>
      <c r="D92" s="238" t="s">
        <v>445</v>
      </c>
      <c r="E92" s="234" t="s">
        <v>0</v>
      </c>
      <c r="F92" s="235">
        <v>2</v>
      </c>
      <c r="G92" s="236">
        <v>1.1499999999999999</v>
      </c>
      <c r="H92" s="236"/>
      <c r="I92" s="236">
        <v>1.95</v>
      </c>
      <c r="J92" s="235">
        <v>1</v>
      </c>
      <c r="K92" s="237"/>
      <c r="L92" s="237">
        <f t="shared" ref="L92" si="10">IF(F92="","",PRODUCT(F92:J92))</f>
        <v>4.4849999999999994</v>
      </c>
      <c r="M92" s="111"/>
      <c r="N92" s="111"/>
      <c r="O92" s="111"/>
      <c r="P92" s="111"/>
    </row>
    <row r="93" spans="3:16" x14ac:dyDescent="0.3">
      <c r="C93" s="114"/>
      <c r="D93" s="115" t="s">
        <v>106</v>
      </c>
      <c r="E93" s="121"/>
      <c r="F93" s="3"/>
      <c r="G93" s="122"/>
      <c r="H93" s="122"/>
      <c r="I93" s="122"/>
      <c r="J93" s="3"/>
      <c r="K93" s="113"/>
      <c r="L93" s="113"/>
      <c r="M93" s="111"/>
      <c r="N93" s="111"/>
      <c r="O93" s="111"/>
      <c r="P93" s="111"/>
    </row>
    <row r="94" spans="3:16" x14ac:dyDescent="0.3">
      <c r="C94" s="114"/>
      <c r="D94" s="137" t="s">
        <v>160</v>
      </c>
      <c r="E94" s="121"/>
      <c r="F94" s="3"/>
      <c r="G94" s="122"/>
      <c r="H94" s="122"/>
      <c r="I94" s="122"/>
      <c r="J94" s="3"/>
      <c r="K94" s="113"/>
      <c r="L94" s="113"/>
      <c r="M94" s="111"/>
      <c r="N94" s="111"/>
      <c r="O94" s="111"/>
      <c r="P94" s="111"/>
    </row>
    <row r="95" spans="3:16" x14ac:dyDescent="0.3">
      <c r="C95" s="114"/>
      <c r="D95" s="233" t="s">
        <v>437</v>
      </c>
      <c r="E95" s="234" t="s">
        <v>0</v>
      </c>
      <c r="F95" s="235">
        <v>1</v>
      </c>
      <c r="G95" s="236">
        <v>1.1499999999999999</v>
      </c>
      <c r="H95" s="236"/>
      <c r="I95" s="236">
        <v>2.1</v>
      </c>
      <c r="J95" s="235">
        <v>1</v>
      </c>
      <c r="K95" s="237"/>
      <c r="L95" s="237">
        <f t="shared" ref="L95:L98" si="11">IF(F95="","",PRODUCT(F95:J95))</f>
        <v>2.415</v>
      </c>
      <c r="M95" s="111"/>
      <c r="N95" s="111"/>
      <c r="O95" s="111"/>
      <c r="P95" s="111"/>
    </row>
    <row r="96" spans="3:16" x14ac:dyDescent="0.3">
      <c r="C96" s="114"/>
      <c r="D96" s="233" t="s">
        <v>438</v>
      </c>
      <c r="E96" s="234" t="s">
        <v>0</v>
      </c>
      <c r="F96" s="235">
        <v>1</v>
      </c>
      <c r="G96" s="236">
        <v>3.65</v>
      </c>
      <c r="H96" s="236"/>
      <c r="I96" s="236">
        <v>2.1</v>
      </c>
      <c r="J96" s="235">
        <v>1</v>
      </c>
      <c r="K96" s="237"/>
      <c r="L96" s="237">
        <f t="shared" si="11"/>
        <v>7.665</v>
      </c>
      <c r="M96" s="111"/>
      <c r="N96" s="111"/>
      <c r="O96" s="111"/>
      <c r="P96" s="111"/>
    </row>
    <row r="97" spans="3:16" x14ac:dyDescent="0.3">
      <c r="C97" s="114"/>
      <c r="D97" s="233" t="s">
        <v>439</v>
      </c>
      <c r="E97" s="234" t="s">
        <v>0</v>
      </c>
      <c r="F97" s="235">
        <v>1</v>
      </c>
      <c r="G97" s="236">
        <v>1.1499999999999999</v>
      </c>
      <c r="H97" s="236"/>
      <c r="I97" s="236">
        <v>2.1</v>
      </c>
      <c r="J97" s="235">
        <v>1</v>
      </c>
      <c r="K97" s="237"/>
      <c r="L97" s="237">
        <f t="shared" si="11"/>
        <v>2.415</v>
      </c>
      <c r="M97" s="111"/>
      <c r="N97" s="111"/>
      <c r="O97" s="111"/>
      <c r="P97" s="111"/>
    </row>
    <row r="98" spans="3:16" x14ac:dyDescent="0.3">
      <c r="C98" s="114"/>
      <c r="D98" s="233" t="s">
        <v>440</v>
      </c>
      <c r="E98" s="234" t="s">
        <v>0</v>
      </c>
      <c r="F98" s="235">
        <v>1</v>
      </c>
      <c r="G98" s="236">
        <v>3.65</v>
      </c>
      <c r="H98" s="236"/>
      <c r="I98" s="236">
        <v>2.1</v>
      </c>
      <c r="J98" s="235">
        <v>1</v>
      </c>
      <c r="K98" s="237"/>
      <c r="L98" s="237">
        <f t="shared" si="11"/>
        <v>7.665</v>
      </c>
      <c r="M98" s="111"/>
      <c r="N98" s="111"/>
      <c r="O98" s="111"/>
      <c r="P98" s="111"/>
    </row>
    <row r="99" spans="3:16" x14ac:dyDescent="0.3">
      <c r="C99" s="114"/>
      <c r="D99" s="137" t="s">
        <v>444</v>
      </c>
      <c r="E99" s="121"/>
      <c r="F99" s="3"/>
      <c r="G99" s="122"/>
      <c r="H99" s="122"/>
      <c r="I99" s="122"/>
      <c r="J99" s="3"/>
      <c r="K99" s="113"/>
      <c r="L99" s="113"/>
      <c r="M99" s="111"/>
      <c r="N99" s="111"/>
      <c r="O99" s="111"/>
      <c r="P99" s="111"/>
    </row>
    <row r="100" spans="3:16" x14ac:dyDescent="0.3">
      <c r="C100" s="114"/>
      <c r="D100" s="238" t="s">
        <v>445</v>
      </c>
      <c r="E100" s="234" t="s">
        <v>0</v>
      </c>
      <c r="F100" s="235">
        <v>2</v>
      </c>
      <c r="G100" s="236">
        <v>1.1499999999999999</v>
      </c>
      <c r="H100" s="236"/>
      <c r="I100" s="236">
        <v>1.95</v>
      </c>
      <c r="J100" s="235">
        <v>1</v>
      </c>
      <c r="K100" s="237"/>
      <c r="L100" s="237">
        <f t="shared" ref="L100" si="12">IF(F100="","",PRODUCT(F100:J100))</f>
        <v>4.4849999999999994</v>
      </c>
      <c r="M100" s="111"/>
      <c r="N100" s="111"/>
      <c r="O100" s="111"/>
      <c r="P100" s="111"/>
    </row>
    <row r="101" spans="3:16" x14ac:dyDescent="0.3">
      <c r="C101" s="106"/>
      <c r="D101" s="115"/>
      <c r="E101" s="121"/>
      <c r="F101" s="3"/>
      <c r="G101" s="122"/>
      <c r="H101" s="122"/>
      <c r="I101" s="122"/>
      <c r="J101" s="3"/>
      <c r="K101" s="113"/>
      <c r="L101" s="113"/>
      <c r="M101" s="113"/>
      <c r="N101" s="113"/>
      <c r="O101" s="113"/>
      <c r="P101" s="113"/>
    </row>
    <row r="102" spans="3:16" x14ac:dyDescent="0.3">
      <c r="C102" s="99" t="s">
        <v>1182</v>
      </c>
      <c r="D102" s="226" t="s">
        <v>520</v>
      </c>
      <c r="E102" s="101" t="s">
        <v>0</v>
      </c>
      <c r="F102" s="1"/>
      <c r="G102" s="2"/>
      <c r="H102" s="2"/>
      <c r="I102" s="2"/>
      <c r="J102" s="3"/>
      <c r="K102" s="103"/>
      <c r="L102" s="103"/>
      <c r="M102" s="103"/>
      <c r="N102" s="103"/>
      <c r="O102" s="103"/>
      <c r="P102" s="103">
        <f>SUM(L102:L169)</f>
        <v>316.33349999999984</v>
      </c>
    </row>
    <row r="103" spans="3:16" x14ac:dyDescent="0.3">
      <c r="C103" s="106"/>
      <c r="D103" s="115" t="s">
        <v>127</v>
      </c>
      <c r="E103" s="121"/>
      <c r="F103" s="3"/>
      <c r="G103" s="122" t="s">
        <v>198</v>
      </c>
      <c r="H103" s="122"/>
      <c r="I103" s="122"/>
      <c r="J103" s="3"/>
      <c r="K103" s="113"/>
      <c r="L103" s="113"/>
      <c r="M103" s="113"/>
      <c r="N103" s="113"/>
      <c r="O103" s="113"/>
      <c r="P103" s="113"/>
    </row>
    <row r="104" spans="3:16" x14ac:dyDescent="0.3">
      <c r="C104" s="114"/>
      <c r="D104" s="233" t="s">
        <v>452</v>
      </c>
      <c r="E104" s="234" t="s">
        <v>0</v>
      </c>
      <c r="F104" s="235">
        <v>1</v>
      </c>
      <c r="G104" s="236">
        <v>1.79</v>
      </c>
      <c r="H104" s="236"/>
      <c r="I104" s="236">
        <v>2.95</v>
      </c>
      <c r="J104" s="235">
        <v>1</v>
      </c>
      <c r="K104" s="237"/>
      <c r="L104" s="237">
        <f t="shared" ref="L104:L124" si="13">IF(F104="","",PRODUCT(F104:J104))</f>
        <v>5.2805000000000009</v>
      </c>
      <c r="M104" s="111"/>
      <c r="N104" s="111"/>
      <c r="O104" s="111"/>
      <c r="P104" s="111"/>
    </row>
    <row r="105" spans="3:16" x14ac:dyDescent="0.3">
      <c r="C105" s="114"/>
      <c r="D105" s="233" t="s">
        <v>453</v>
      </c>
      <c r="E105" s="234" t="s">
        <v>0</v>
      </c>
      <c r="F105" s="235">
        <v>1</v>
      </c>
      <c r="G105" s="236">
        <v>1.59</v>
      </c>
      <c r="H105" s="236"/>
      <c r="I105" s="236">
        <v>2.95</v>
      </c>
      <c r="J105" s="235">
        <v>1</v>
      </c>
      <c r="K105" s="237"/>
      <c r="L105" s="237">
        <f t="shared" si="13"/>
        <v>4.6905000000000001</v>
      </c>
      <c r="M105" s="111"/>
      <c r="N105" s="111"/>
      <c r="O105" s="111"/>
      <c r="P105" s="111"/>
    </row>
    <row r="106" spans="3:16" x14ac:dyDescent="0.3">
      <c r="C106" s="114"/>
      <c r="D106" s="233" t="s">
        <v>454</v>
      </c>
      <c r="E106" s="234" t="s">
        <v>0</v>
      </c>
      <c r="F106" s="235">
        <v>1</v>
      </c>
      <c r="G106" s="236">
        <f>1.97+1.76</f>
        <v>3.73</v>
      </c>
      <c r="H106" s="236"/>
      <c r="I106" s="236">
        <v>2.95</v>
      </c>
      <c r="J106" s="235">
        <v>1</v>
      </c>
      <c r="K106" s="237"/>
      <c r="L106" s="237">
        <f t="shared" si="13"/>
        <v>11.003500000000001</v>
      </c>
      <c r="M106" s="111"/>
      <c r="N106" s="111"/>
      <c r="O106" s="111"/>
      <c r="P106" s="111"/>
    </row>
    <row r="107" spans="3:16" x14ac:dyDescent="0.3">
      <c r="C107" s="114"/>
      <c r="D107" s="233" t="s">
        <v>455</v>
      </c>
      <c r="E107" s="234" t="s">
        <v>0</v>
      </c>
      <c r="F107" s="235">
        <v>1</v>
      </c>
      <c r="G107" s="236">
        <v>1.59</v>
      </c>
      <c r="H107" s="236"/>
      <c r="I107" s="236">
        <v>2.95</v>
      </c>
      <c r="J107" s="235">
        <v>1</v>
      </c>
      <c r="K107" s="237"/>
      <c r="L107" s="237">
        <f t="shared" si="13"/>
        <v>4.6905000000000001</v>
      </c>
      <c r="M107" s="111"/>
      <c r="N107" s="111"/>
      <c r="O107" s="111"/>
      <c r="P107" s="111"/>
    </row>
    <row r="108" spans="3:16" x14ac:dyDescent="0.3">
      <c r="C108" s="114"/>
      <c r="D108" s="233" t="s">
        <v>456</v>
      </c>
      <c r="E108" s="234" t="s">
        <v>0</v>
      </c>
      <c r="F108" s="235">
        <v>1</v>
      </c>
      <c r="G108" s="236">
        <f>2.7+0.7</f>
        <v>3.4000000000000004</v>
      </c>
      <c r="H108" s="236"/>
      <c r="I108" s="236">
        <v>2.95</v>
      </c>
      <c r="J108" s="235">
        <v>1</v>
      </c>
      <c r="K108" s="237"/>
      <c r="L108" s="237">
        <f t="shared" si="13"/>
        <v>10.030000000000001</v>
      </c>
      <c r="M108" s="111"/>
      <c r="N108" s="111"/>
      <c r="O108" s="111"/>
      <c r="P108" s="111"/>
    </row>
    <row r="109" spans="3:16" x14ac:dyDescent="0.3">
      <c r="C109" s="114"/>
      <c r="D109" s="233" t="s">
        <v>457</v>
      </c>
      <c r="E109" s="234" t="s">
        <v>0</v>
      </c>
      <c r="F109" s="235">
        <v>1</v>
      </c>
      <c r="G109" s="236">
        <v>1.1000000000000001</v>
      </c>
      <c r="H109" s="236"/>
      <c r="I109" s="236">
        <v>3.25</v>
      </c>
      <c r="J109" s="235">
        <v>1</v>
      </c>
      <c r="K109" s="237"/>
      <c r="L109" s="237">
        <f t="shared" si="13"/>
        <v>3.5750000000000002</v>
      </c>
      <c r="M109" s="111"/>
      <c r="N109" s="111"/>
      <c r="O109" s="111"/>
      <c r="P109" s="111"/>
    </row>
    <row r="110" spans="3:16" x14ac:dyDescent="0.3">
      <c r="C110" s="114"/>
      <c r="D110" s="233" t="s">
        <v>458</v>
      </c>
      <c r="E110" s="234" t="s">
        <v>0</v>
      </c>
      <c r="F110" s="235">
        <v>1</v>
      </c>
      <c r="G110" s="236">
        <v>1.55</v>
      </c>
      <c r="H110" s="236"/>
      <c r="I110" s="236">
        <v>2.95</v>
      </c>
      <c r="J110" s="235">
        <v>1</v>
      </c>
      <c r="K110" s="237"/>
      <c r="L110" s="237">
        <f t="shared" si="13"/>
        <v>4.5725000000000007</v>
      </c>
      <c r="M110" s="111"/>
      <c r="N110" s="111"/>
      <c r="O110" s="111"/>
      <c r="P110" s="111"/>
    </row>
    <row r="111" spans="3:16" x14ac:dyDescent="0.3">
      <c r="C111" s="114"/>
      <c r="D111" s="233" t="s">
        <v>459</v>
      </c>
      <c r="E111" s="234" t="s">
        <v>0</v>
      </c>
      <c r="F111" s="235">
        <v>1</v>
      </c>
      <c r="G111" s="236">
        <v>1.1000000000000001</v>
      </c>
      <c r="H111" s="236"/>
      <c r="I111" s="236">
        <v>3.25</v>
      </c>
      <c r="J111" s="235">
        <v>1</v>
      </c>
      <c r="K111" s="237"/>
      <c r="L111" s="237">
        <f t="shared" si="13"/>
        <v>3.5750000000000002</v>
      </c>
      <c r="M111" s="111"/>
      <c r="N111" s="111"/>
      <c r="O111" s="111"/>
      <c r="P111" s="111"/>
    </row>
    <row r="112" spans="3:16" x14ac:dyDescent="0.3">
      <c r="C112" s="114"/>
      <c r="D112" s="233" t="s">
        <v>460</v>
      </c>
      <c r="E112" s="234" t="s">
        <v>0</v>
      </c>
      <c r="F112" s="235">
        <v>1</v>
      </c>
      <c r="G112" s="236">
        <f>2.43+2.68</f>
        <v>5.1100000000000003</v>
      </c>
      <c r="H112" s="236"/>
      <c r="I112" s="236">
        <v>2.95</v>
      </c>
      <c r="J112" s="235">
        <v>1</v>
      </c>
      <c r="K112" s="237"/>
      <c r="L112" s="237">
        <f t="shared" si="13"/>
        <v>15.074500000000002</v>
      </c>
      <c r="M112" s="111"/>
      <c r="N112" s="111"/>
      <c r="O112" s="111"/>
      <c r="P112" s="111"/>
    </row>
    <row r="113" spans="3:16" x14ac:dyDescent="0.3">
      <c r="C113" s="114"/>
      <c r="D113" s="233" t="s">
        <v>461</v>
      </c>
      <c r="E113" s="234" t="s">
        <v>0</v>
      </c>
      <c r="F113" s="235">
        <v>1</v>
      </c>
      <c r="G113" s="236">
        <v>1.1000000000000001</v>
      </c>
      <c r="H113" s="236"/>
      <c r="I113" s="236">
        <v>3.25</v>
      </c>
      <c r="J113" s="235">
        <v>1</v>
      </c>
      <c r="K113" s="237"/>
      <c r="L113" s="237">
        <f t="shared" si="13"/>
        <v>3.5750000000000002</v>
      </c>
      <c r="M113" s="111"/>
      <c r="N113" s="111"/>
      <c r="O113" s="111"/>
      <c r="P113" s="111"/>
    </row>
    <row r="114" spans="3:16" x14ac:dyDescent="0.3">
      <c r="C114" s="114"/>
      <c r="D114" s="233" t="s">
        <v>462</v>
      </c>
      <c r="E114" s="234" t="s">
        <v>0</v>
      </c>
      <c r="F114" s="235">
        <v>1</v>
      </c>
      <c r="G114" s="236">
        <v>1.55</v>
      </c>
      <c r="H114" s="236"/>
      <c r="I114" s="236">
        <v>2.95</v>
      </c>
      <c r="J114" s="235">
        <v>1</v>
      </c>
      <c r="K114" s="237"/>
      <c r="L114" s="237">
        <f t="shared" si="13"/>
        <v>4.5725000000000007</v>
      </c>
      <c r="M114" s="111"/>
      <c r="N114" s="111"/>
      <c r="O114" s="111"/>
      <c r="P114" s="111"/>
    </row>
    <row r="115" spans="3:16" x14ac:dyDescent="0.3">
      <c r="C115" s="114"/>
      <c r="D115" s="233" t="s">
        <v>463</v>
      </c>
      <c r="E115" s="234" t="s">
        <v>0</v>
      </c>
      <c r="F115" s="235">
        <v>1</v>
      </c>
      <c r="G115" s="236">
        <f>2.45+0.7</f>
        <v>3.1500000000000004</v>
      </c>
      <c r="H115" s="236"/>
      <c r="I115" s="236">
        <v>2.95</v>
      </c>
      <c r="J115" s="235">
        <v>1</v>
      </c>
      <c r="K115" s="237"/>
      <c r="L115" s="237">
        <f t="shared" si="13"/>
        <v>9.2925000000000022</v>
      </c>
      <c r="M115" s="111"/>
      <c r="N115" s="111"/>
      <c r="O115" s="111"/>
      <c r="P115" s="111"/>
    </row>
    <row r="116" spans="3:16" x14ac:dyDescent="0.3">
      <c r="C116" s="114"/>
      <c r="D116" s="233" t="s">
        <v>464</v>
      </c>
      <c r="E116" s="234" t="s">
        <v>0</v>
      </c>
      <c r="F116" s="235">
        <v>1</v>
      </c>
      <c r="G116" s="236" t="s">
        <v>465</v>
      </c>
      <c r="H116" s="236">
        <v>0.6</v>
      </c>
      <c r="I116" s="236">
        <v>3.25</v>
      </c>
      <c r="J116" s="235">
        <v>1</v>
      </c>
      <c r="K116" s="237"/>
      <c r="L116" s="237">
        <f t="shared" si="13"/>
        <v>1.95</v>
      </c>
      <c r="M116" s="111"/>
      <c r="N116" s="111"/>
      <c r="O116" s="111"/>
      <c r="P116" s="111"/>
    </row>
    <row r="117" spans="3:16" x14ac:dyDescent="0.3">
      <c r="C117" s="114"/>
      <c r="D117" s="233" t="s">
        <v>466</v>
      </c>
      <c r="E117" s="234" t="s">
        <v>0</v>
      </c>
      <c r="F117" s="235">
        <v>1</v>
      </c>
      <c r="G117" s="236" t="s">
        <v>465</v>
      </c>
      <c r="H117" s="236">
        <v>0.95</v>
      </c>
      <c r="I117" s="236">
        <v>3.25</v>
      </c>
      <c r="J117" s="235">
        <v>1</v>
      </c>
      <c r="K117" s="237"/>
      <c r="L117" s="237">
        <f t="shared" si="13"/>
        <v>3.0874999999999999</v>
      </c>
      <c r="M117" s="111"/>
      <c r="N117" s="111"/>
      <c r="O117" s="111"/>
      <c r="P117" s="111"/>
    </row>
    <row r="118" spans="3:16" x14ac:dyDescent="0.3">
      <c r="C118" s="114"/>
      <c r="D118" s="233" t="s">
        <v>467</v>
      </c>
      <c r="E118" s="234" t="s">
        <v>0</v>
      </c>
      <c r="F118" s="235">
        <v>1</v>
      </c>
      <c r="G118" s="236" t="s">
        <v>465</v>
      </c>
      <c r="H118" s="236">
        <v>0.95</v>
      </c>
      <c r="I118" s="236">
        <v>3.25</v>
      </c>
      <c r="J118" s="235">
        <v>1</v>
      </c>
      <c r="K118" s="237"/>
      <c r="L118" s="237">
        <f t="shared" si="13"/>
        <v>3.0874999999999999</v>
      </c>
      <c r="M118" s="111"/>
      <c r="N118" s="111"/>
      <c r="O118" s="111"/>
      <c r="P118" s="111"/>
    </row>
    <row r="119" spans="3:16" x14ac:dyDescent="0.3">
      <c r="C119" s="114"/>
      <c r="D119" s="233" t="s">
        <v>468</v>
      </c>
      <c r="E119" s="234" t="s">
        <v>0</v>
      </c>
      <c r="F119" s="235">
        <v>1</v>
      </c>
      <c r="G119" s="236" t="s">
        <v>465</v>
      </c>
      <c r="H119" s="236">
        <v>0.95</v>
      </c>
      <c r="I119" s="236">
        <v>3.25</v>
      </c>
      <c r="J119" s="235">
        <v>1</v>
      </c>
      <c r="K119" s="237"/>
      <c r="L119" s="237">
        <f t="shared" si="13"/>
        <v>3.0874999999999999</v>
      </c>
      <c r="M119" s="111"/>
      <c r="N119" s="111"/>
      <c r="O119" s="111"/>
      <c r="P119" s="111"/>
    </row>
    <row r="120" spans="3:16" x14ac:dyDescent="0.3">
      <c r="C120" s="114"/>
      <c r="D120" s="233" t="s">
        <v>469</v>
      </c>
      <c r="E120" s="234" t="s">
        <v>0</v>
      </c>
      <c r="F120" s="235">
        <v>1</v>
      </c>
      <c r="G120" s="236" t="s">
        <v>465</v>
      </c>
      <c r="H120" s="236">
        <v>0.95</v>
      </c>
      <c r="I120" s="236">
        <v>3.25</v>
      </c>
      <c r="J120" s="235">
        <v>1</v>
      </c>
      <c r="K120" s="237"/>
      <c r="L120" s="237">
        <f t="shared" si="13"/>
        <v>3.0874999999999999</v>
      </c>
      <c r="M120" s="111"/>
      <c r="N120" s="111"/>
      <c r="O120" s="111"/>
      <c r="P120" s="111"/>
    </row>
    <row r="121" spans="3:16" x14ac:dyDescent="0.3">
      <c r="C121" s="114"/>
      <c r="D121" s="233" t="s">
        <v>470</v>
      </c>
      <c r="E121" s="234" t="s">
        <v>0</v>
      </c>
      <c r="F121" s="235">
        <v>1</v>
      </c>
      <c r="G121" s="236" t="s">
        <v>465</v>
      </c>
      <c r="H121" s="236">
        <v>0.95</v>
      </c>
      <c r="I121" s="236">
        <v>3.25</v>
      </c>
      <c r="J121" s="235">
        <v>1</v>
      </c>
      <c r="K121" s="237"/>
      <c r="L121" s="237">
        <f t="shared" si="13"/>
        <v>3.0874999999999999</v>
      </c>
      <c r="M121" s="111"/>
      <c r="N121" s="111"/>
      <c r="O121" s="111"/>
      <c r="P121" s="111"/>
    </row>
    <row r="122" spans="3:16" x14ac:dyDescent="0.3">
      <c r="C122" s="114"/>
      <c r="D122" s="233" t="s">
        <v>471</v>
      </c>
      <c r="E122" s="234" t="s">
        <v>0</v>
      </c>
      <c r="F122" s="235">
        <v>1</v>
      </c>
      <c r="G122" s="236" t="s">
        <v>465</v>
      </c>
      <c r="H122" s="236">
        <v>0.95</v>
      </c>
      <c r="I122" s="236">
        <v>3.25</v>
      </c>
      <c r="J122" s="235">
        <v>1</v>
      </c>
      <c r="K122" s="237"/>
      <c r="L122" s="237">
        <f t="shared" si="13"/>
        <v>3.0874999999999999</v>
      </c>
      <c r="M122" s="111"/>
      <c r="N122" s="111"/>
      <c r="O122" s="111"/>
      <c r="P122" s="111"/>
    </row>
    <row r="123" spans="3:16" x14ac:dyDescent="0.3">
      <c r="C123" s="114"/>
      <c r="D123" s="233" t="s">
        <v>472</v>
      </c>
      <c r="E123" s="234" t="s">
        <v>0</v>
      </c>
      <c r="F123" s="235">
        <v>1</v>
      </c>
      <c r="G123" s="236" t="s">
        <v>465</v>
      </c>
      <c r="H123" s="236">
        <v>0.95</v>
      </c>
      <c r="I123" s="236">
        <v>3.25</v>
      </c>
      <c r="J123" s="235">
        <v>1</v>
      </c>
      <c r="K123" s="237"/>
      <c r="L123" s="237">
        <f t="shared" si="13"/>
        <v>3.0874999999999999</v>
      </c>
      <c r="M123" s="111"/>
      <c r="N123" s="111"/>
      <c r="O123" s="111"/>
      <c r="P123" s="111"/>
    </row>
    <row r="124" spans="3:16" x14ac:dyDescent="0.3">
      <c r="C124" s="114"/>
      <c r="D124" s="233" t="s">
        <v>473</v>
      </c>
      <c r="E124" s="234" t="s">
        <v>0</v>
      </c>
      <c r="F124" s="235">
        <v>1</v>
      </c>
      <c r="G124" s="236" t="s">
        <v>465</v>
      </c>
      <c r="H124" s="236">
        <v>0.6</v>
      </c>
      <c r="I124" s="236">
        <v>3.25</v>
      </c>
      <c r="J124" s="235">
        <v>1</v>
      </c>
      <c r="K124" s="237"/>
      <c r="L124" s="237">
        <f t="shared" si="13"/>
        <v>1.95</v>
      </c>
      <c r="M124" s="111"/>
      <c r="N124" s="111"/>
      <c r="O124" s="111"/>
      <c r="P124" s="111"/>
    </row>
    <row r="125" spans="3:16" x14ac:dyDescent="0.3">
      <c r="C125" s="106"/>
      <c r="D125" s="115" t="s">
        <v>68</v>
      </c>
      <c r="E125" s="121"/>
      <c r="F125" s="3"/>
      <c r="G125" s="122" t="s">
        <v>198</v>
      </c>
      <c r="H125" s="122"/>
      <c r="I125" s="122"/>
      <c r="J125" s="3"/>
      <c r="K125" s="113"/>
      <c r="L125" s="113"/>
      <c r="M125" s="113"/>
      <c r="N125" s="113"/>
      <c r="O125" s="113"/>
      <c r="P125" s="113"/>
    </row>
    <row r="126" spans="3:16" x14ac:dyDescent="0.3">
      <c r="C126" s="114"/>
      <c r="D126" s="233" t="s">
        <v>452</v>
      </c>
      <c r="E126" s="234" t="s">
        <v>0</v>
      </c>
      <c r="F126" s="235">
        <v>1</v>
      </c>
      <c r="G126" s="236">
        <v>1.79</v>
      </c>
      <c r="H126" s="236"/>
      <c r="I126" s="236">
        <v>2.95</v>
      </c>
      <c r="J126" s="235">
        <v>1</v>
      </c>
      <c r="K126" s="237"/>
      <c r="L126" s="237">
        <f t="shared" ref="L126:L146" si="14">IF(F126="","",PRODUCT(F126:J126))</f>
        <v>5.2805000000000009</v>
      </c>
      <c r="M126" s="111"/>
      <c r="N126" s="111"/>
      <c r="O126" s="111"/>
      <c r="P126" s="111"/>
    </row>
    <row r="127" spans="3:16" x14ac:dyDescent="0.3">
      <c r="C127" s="114"/>
      <c r="D127" s="233" t="s">
        <v>453</v>
      </c>
      <c r="E127" s="234" t="s">
        <v>0</v>
      </c>
      <c r="F127" s="235">
        <v>1</v>
      </c>
      <c r="G127" s="236">
        <v>1.59</v>
      </c>
      <c r="H127" s="236"/>
      <c r="I127" s="236">
        <v>2.95</v>
      </c>
      <c r="J127" s="235">
        <v>1</v>
      </c>
      <c r="K127" s="237"/>
      <c r="L127" s="237">
        <f t="shared" si="14"/>
        <v>4.6905000000000001</v>
      </c>
      <c r="M127" s="111"/>
      <c r="N127" s="111"/>
      <c r="O127" s="111"/>
      <c r="P127" s="111"/>
    </row>
    <row r="128" spans="3:16" x14ac:dyDescent="0.3">
      <c r="C128" s="114"/>
      <c r="D128" s="233" t="s">
        <v>454</v>
      </c>
      <c r="E128" s="234" t="s">
        <v>0</v>
      </c>
      <c r="F128" s="235">
        <v>1</v>
      </c>
      <c r="G128" s="236">
        <f>1.97+1.76</f>
        <v>3.73</v>
      </c>
      <c r="H128" s="236"/>
      <c r="I128" s="236">
        <v>2.95</v>
      </c>
      <c r="J128" s="235">
        <v>1</v>
      </c>
      <c r="K128" s="237"/>
      <c r="L128" s="237">
        <f t="shared" si="14"/>
        <v>11.003500000000001</v>
      </c>
      <c r="M128" s="111"/>
      <c r="N128" s="111"/>
      <c r="O128" s="111"/>
      <c r="P128" s="111"/>
    </row>
    <row r="129" spans="3:16" x14ac:dyDescent="0.3">
      <c r="C129" s="114"/>
      <c r="D129" s="233" t="s">
        <v>455</v>
      </c>
      <c r="E129" s="234" t="s">
        <v>0</v>
      </c>
      <c r="F129" s="235">
        <v>1</v>
      </c>
      <c r="G129" s="236">
        <v>1.59</v>
      </c>
      <c r="H129" s="236"/>
      <c r="I129" s="236">
        <v>2.95</v>
      </c>
      <c r="J129" s="235">
        <v>1</v>
      </c>
      <c r="K129" s="237"/>
      <c r="L129" s="237">
        <f t="shared" si="14"/>
        <v>4.6905000000000001</v>
      </c>
      <c r="M129" s="111"/>
      <c r="N129" s="111"/>
      <c r="O129" s="111"/>
      <c r="P129" s="111"/>
    </row>
    <row r="130" spans="3:16" x14ac:dyDescent="0.3">
      <c r="C130" s="114"/>
      <c r="D130" s="233" t="s">
        <v>456</v>
      </c>
      <c r="E130" s="234" t="s">
        <v>0</v>
      </c>
      <c r="F130" s="235">
        <v>1</v>
      </c>
      <c r="G130" s="236">
        <f>2.7+0.7</f>
        <v>3.4000000000000004</v>
      </c>
      <c r="H130" s="236"/>
      <c r="I130" s="236">
        <v>2.95</v>
      </c>
      <c r="J130" s="235">
        <v>1</v>
      </c>
      <c r="K130" s="237"/>
      <c r="L130" s="237">
        <f t="shared" si="14"/>
        <v>10.030000000000001</v>
      </c>
      <c r="M130" s="111"/>
      <c r="N130" s="111"/>
      <c r="O130" s="111"/>
      <c r="P130" s="111"/>
    </row>
    <row r="131" spans="3:16" x14ac:dyDescent="0.3">
      <c r="C131" s="114"/>
      <c r="D131" s="233" t="s">
        <v>457</v>
      </c>
      <c r="E131" s="234" t="s">
        <v>0</v>
      </c>
      <c r="F131" s="235">
        <v>1</v>
      </c>
      <c r="G131" s="236">
        <v>1.1000000000000001</v>
      </c>
      <c r="H131" s="236"/>
      <c r="I131" s="236">
        <v>3.25</v>
      </c>
      <c r="J131" s="235">
        <v>1</v>
      </c>
      <c r="K131" s="237"/>
      <c r="L131" s="237">
        <f t="shared" si="14"/>
        <v>3.5750000000000002</v>
      </c>
      <c r="M131" s="111"/>
      <c r="N131" s="111"/>
      <c r="O131" s="111"/>
      <c r="P131" s="111"/>
    </row>
    <row r="132" spans="3:16" x14ac:dyDescent="0.3">
      <c r="C132" s="114"/>
      <c r="D132" s="233" t="s">
        <v>458</v>
      </c>
      <c r="E132" s="234" t="s">
        <v>0</v>
      </c>
      <c r="F132" s="235">
        <v>1</v>
      </c>
      <c r="G132" s="236">
        <v>1.55</v>
      </c>
      <c r="H132" s="236"/>
      <c r="I132" s="236">
        <v>2.95</v>
      </c>
      <c r="J132" s="235">
        <v>1</v>
      </c>
      <c r="K132" s="237"/>
      <c r="L132" s="237">
        <f t="shared" si="14"/>
        <v>4.5725000000000007</v>
      </c>
      <c r="M132" s="111"/>
      <c r="N132" s="111"/>
      <c r="O132" s="111"/>
      <c r="P132" s="111"/>
    </row>
    <row r="133" spans="3:16" x14ac:dyDescent="0.3">
      <c r="C133" s="114"/>
      <c r="D133" s="233" t="s">
        <v>459</v>
      </c>
      <c r="E133" s="234" t="s">
        <v>0</v>
      </c>
      <c r="F133" s="235">
        <v>1</v>
      </c>
      <c r="G133" s="236">
        <v>1.1000000000000001</v>
      </c>
      <c r="H133" s="236"/>
      <c r="I133" s="236">
        <v>3.25</v>
      </c>
      <c r="J133" s="235">
        <v>1</v>
      </c>
      <c r="K133" s="237"/>
      <c r="L133" s="237">
        <f t="shared" si="14"/>
        <v>3.5750000000000002</v>
      </c>
      <c r="M133" s="111"/>
      <c r="N133" s="111"/>
      <c r="O133" s="111"/>
      <c r="P133" s="111"/>
    </row>
    <row r="134" spans="3:16" x14ac:dyDescent="0.3">
      <c r="C134" s="114"/>
      <c r="D134" s="233" t="s">
        <v>460</v>
      </c>
      <c r="E134" s="234" t="s">
        <v>0</v>
      </c>
      <c r="F134" s="235">
        <v>1</v>
      </c>
      <c r="G134" s="236">
        <f>2.43+2.68</f>
        <v>5.1100000000000003</v>
      </c>
      <c r="H134" s="236"/>
      <c r="I134" s="236">
        <v>2.95</v>
      </c>
      <c r="J134" s="235">
        <v>1</v>
      </c>
      <c r="K134" s="237"/>
      <c r="L134" s="237">
        <f t="shared" si="14"/>
        <v>15.074500000000002</v>
      </c>
      <c r="M134" s="111"/>
      <c r="N134" s="111"/>
      <c r="O134" s="111"/>
      <c r="P134" s="111"/>
    </row>
    <row r="135" spans="3:16" x14ac:dyDescent="0.3">
      <c r="C135" s="114"/>
      <c r="D135" s="233" t="s">
        <v>461</v>
      </c>
      <c r="E135" s="234" t="s">
        <v>0</v>
      </c>
      <c r="F135" s="235">
        <v>1</v>
      </c>
      <c r="G135" s="236">
        <v>1.1000000000000001</v>
      </c>
      <c r="H135" s="236"/>
      <c r="I135" s="236">
        <v>3.25</v>
      </c>
      <c r="J135" s="235">
        <v>1</v>
      </c>
      <c r="K135" s="237"/>
      <c r="L135" s="237">
        <f t="shared" si="14"/>
        <v>3.5750000000000002</v>
      </c>
      <c r="M135" s="111"/>
      <c r="N135" s="111"/>
      <c r="O135" s="111"/>
      <c r="P135" s="111"/>
    </row>
    <row r="136" spans="3:16" x14ac:dyDescent="0.3">
      <c r="C136" s="114"/>
      <c r="D136" s="233" t="s">
        <v>462</v>
      </c>
      <c r="E136" s="234" t="s">
        <v>0</v>
      </c>
      <c r="F136" s="235">
        <v>1</v>
      </c>
      <c r="G136" s="236">
        <v>1.55</v>
      </c>
      <c r="H136" s="236"/>
      <c r="I136" s="236">
        <v>2.95</v>
      </c>
      <c r="J136" s="235">
        <v>1</v>
      </c>
      <c r="K136" s="237"/>
      <c r="L136" s="237">
        <f t="shared" si="14"/>
        <v>4.5725000000000007</v>
      </c>
      <c r="M136" s="111"/>
      <c r="N136" s="111"/>
      <c r="O136" s="111"/>
      <c r="P136" s="111"/>
    </row>
    <row r="137" spans="3:16" x14ac:dyDescent="0.3">
      <c r="C137" s="114"/>
      <c r="D137" s="233" t="s">
        <v>463</v>
      </c>
      <c r="E137" s="234" t="s">
        <v>0</v>
      </c>
      <c r="F137" s="235">
        <v>1</v>
      </c>
      <c r="G137" s="236">
        <f>2.45+0.7</f>
        <v>3.1500000000000004</v>
      </c>
      <c r="H137" s="236"/>
      <c r="I137" s="236">
        <v>2.95</v>
      </c>
      <c r="J137" s="235">
        <v>1</v>
      </c>
      <c r="K137" s="237"/>
      <c r="L137" s="237">
        <f t="shared" si="14"/>
        <v>9.2925000000000022</v>
      </c>
      <c r="M137" s="111"/>
      <c r="N137" s="111"/>
      <c r="O137" s="111"/>
      <c r="P137" s="111"/>
    </row>
    <row r="138" spans="3:16" x14ac:dyDescent="0.3">
      <c r="C138" s="114"/>
      <c r="D138" s="233" t="s">
        <v>464</v>
      </c>
      <c r="E138" s="234" t="s">
        <v>0</v>
      </c>
      <c r="F138" s="235">
        <v>1</v>
      </c>
      <c r="G138" s="236" t="s">
        <v>465</v>
      </c>
      <c r="H138" s="236">
        <v>0.6</v>
      </c>
      <c r="I138" s="236">
        <v>3.25</v>
      </c>
      <c r="J138" s="235">
        <v>1</v>
      </c>
      <c r="K138" s="237"/>
      <c r="L138" s="237">
        <f t="shared" si="14"/>
        <v>1.95</v>
      </c>
      <c r="M138" s="111"/>
      <c r="N138" s="248"/>
      <c r="O138" s="111"/>
      <c r="P138" s="111"/>
    </row>
    <row r="139" spans="3:16" x14ac:dyDescent="0.3">
      <c r="C139" s="114"/>
      <c r="D139" s="233" t="s">
        <v>466</v>
      </c>
      <c r="E139" s="234" t="s">
        <v>0</v>
      </c>
      <c r="F139" s="235">
        <v>1</v>
      </c>
      <c r="G139" s="236" t="s">
        <v>465</v>
      </c>
      <c r="H139" s="236">
        <v>0.95</v>
      </c>
      <c r="I139" s="236">
        <v>3.25</v>
      </c>
      <c r="J139" s="235">
        <v>1</v>
      </c>
      <c r="K139" s="237"/>
      <c r="L139" s="237">
        <f t="shared" si="14"/>
        <v>3.0874999999999999</v>
      </c>
      <c r="M139" s="111"/>
      <c r="N139" s="111"/>
      <c r="O139" s="111"/>
      <c r="P139" s="111"/>
    </row>
    <row r="140" spans="3:16" x14ac:dyDescent="0.3">
      <c r="C140" s="114"/>
      <c r="D140" s="233" t="s">
        <v>467</v>
      </c>
      <c r="E140" s="234" t="s">
        <v>0</v>
      </c>
      <c r="F140" s="235">
        <v>1</v>
      </c>
      <c r="G140" s="236" t="s">
        <v>465</v>
      </c>
      <c r="H140" s="236">
        <v>0.95</v>
      </c>
      <c r="I140" s="236">
        <v>3.25</v>
      </c>
      <c r="J140" s="235">
        <v>1</v>
      </c>
      <c r="K140" s="237"/>
      <c r="L140" s="237">
        <f t="shared" si="14"/>
        <v>3.0874999999999999</v>
      </c>
      <c r="M140" s="111"/>
      <c r="N140" s="111"/>
      <c r="O140" s="111"/>
      <c r="P140" s="111"/>
    </row>
    <row r="141" spans="3:16" x14ac:dyDescent="0.3">
      <c r="C141" s="114"/>
      <c r="D141" s="233" t="s">
        <v>468</v>
      </c>
      <c r="E141" s="234" t="s">
        <v>0</v>
      </c>
      <c r="F141" s="235">
        <v>1</v>
      </c>
      <c r="G141" s="236" t="s">
        <v>465</v>
      </c>
      <c r="H141" s="236">
        <v>0.95</v>
      </c>
      <c r="I141" s="236">
        <v>3.25</v>
      </c>
      <c r="J141" s="235">
        <v>1</v>
      </c>
      <c r="K141" s="237"/>
      <c r="L141" s="237">
        <f t="shared" si="14"/>
        <v>3.0874999999999999</v>
      </c>
      <c r="M141" s="111"/>
      <c r="N141" s="111"/>
      <c r="O141" s="111"/>
      <c r="P141" s="111"/>
    </row>
    <row r="142" spans="3:16" x14ac:dyDescent="0.3">
      <c r="C142" s="114"/>
      <c r="D142" s="233" t="s">
        <v>469</v>
      </c>
      <c r="E142" s="234" t="s">
        <v>0</v>
      </c>
      <c r="F142" s="235">
        <v>1</v>
      </c>
      <c r="G142" s="236" t="s">
        <v>465</v>
      </c>
      <c r="H142" s="236">
        <v>0.95</v>
      </c>
      <c r="I142" s="236">
        <v>3.25</v>
      </c>
      <c r="J142" s="235">
        <v>1</v>
      </c>
      <c r="K142" s="237"/>
      <c r="L142" s="237">
        <f t="shared" si="14"/>
        <v>3.0874999999999999</v>
      </c>
      <c r="M142" s="111"/>
      <c r="N142" s="111"/>
      <c r="O142" s="111"/>
      <c r="P142" s="111"/>
    </row>
    <row r="143" spans="3:16" x14ac:dyDescent="0.3">
      <c r="C143" s="114"/>
      <c r="D143" s="233" t="s">
        <v>470</v>
      </c>
      <c r="E143" s="234" t="s">
        <v>0</v>
      </c>
      <c r="F143" s="235">
        <v>1</v>
      </c>
      <c r="G143" s="236" t="s">
        <v>465</v>
      </c>
      <c r="H143" s="236">
        <v>0.95</v>
      </c>
      <c r="I143" s="236">
        <v>3.25</v>
      </c>
      <c r="J143" s="235">
        <v>1</v>
      </c>
      <c r="K143" s="237"/>
      <c r="L143" s="237">
        <f t="shared" si="14"/>
        <v>3.0874999999999999</v>
      </c>
      <c r="M143" s="111"/>
      <c r="N143" s="111"/>
      <c r="O143" s="111"/>
      <c r="P143" s="111"/>
    </row>
    <row r="144" spans="3:16" x14ac:dyDescent="0.3">
      <c r="C144" s="114"/>
      <c r="D144" s="233" t="s">
        <v>471</v>
      </c>
      <c r="E144" s="234" t="s">
        <v>0</v>
      </c>
      <c r="F144" s="235">
        <v>1</v>
      </c>
      <c r="G144" s="236" t="s">
        <v>465</v>
      </c>
      <c r="H144" s="236">
        <v>0.95</v>
      </c>
      <c r="I144" s="236">
        <v>3.25</v>
      </c>
      <c r="J144" s="235">
        <v>1</v>
      </c>
      <c r="K144" s="237"/>
      <c r="L144" s="237">
        <f t="shared" si="14"/>
        <v>3.0874999999999999</v>
      </c>
      <c r="M144" s="111"/>
      <c r="N144" s="111"/>
      <c r="O144" s="111"/>
      <c r="P144" s="111"/>
    </row>
    <row r="145" spans="3:16" x14ac:dyDescent="0.3">
      <c r="C145" s="114"/>
      <c r="D145" s="233" t="s">
        <v>472</v>
      </c>
      <c r="E145" s="234" t="s">
        <v>0</v>
      </c>
      <c r="F145" s="235">
        <v>1</v>
      </c>
      <c r="G145" s="236" t="s">
        <v>465</v>
      </c>
      <c r="H145" s="236">
        <v>0.95</v>
      </c>
      <c r="I145" s="236">
        <v>3.25</v>
      </c>
      <c r="J145" s="235">
        <v>1</v>
      </c>
      <c r="K145" s="237"/>
      <c r="L145" s="237">
        <f t="shared" si="14"/>
        <v>3.0874999999999999</v>
      </c>
      <c r="M145" s="111"/>
      <c r="N145" s="111"/>
      <c r="O145" s="111"/>
      <c r="P145" s="111"/>
    </row>
    <row r="146" spans="3:16" x14ac:dyDescent="0.3">
      <c r="C146" s="114"/>
      <c r="D146" s="233" t="s">
        <v>473</v>
      </c>
      <c r="E146" s="234" t="s">
        <v>0</v>
      </c>
      <c r="F146" s="235">
        <v>1</v>
      </c>
      <c r="G146" s="236" t="s">
        <v>465</v>
      </c>
      <c r="H146" s="236">
        <v>0.6</v>
      </c>
      <c r="I146" s="236">
        <v>3.25</v>
      </c>
      <c r="J146" s="235">
        <v>1</v>
      </c>
      <c r="K146" s="237"/>
      <c r="L146" s="237">
        <f t="shared" si="14"/>
        <v>1.95</v>
      </c>
      <c r="M146" s="111"/>
      <c r="N146" s="111"/>
      <c r="O146" s="111"/>
      <c r="P146" s="111"/>
    </row>
    <row r="147" spans="3:16" x14ac:dyDescent="0.3">
      <c r="C147" s="106"/>
      <c r="D147" s="115" t="s">
        <v>106</v>
      </c>
      <c r="E147" s="121"/>
      <c r="F147" s="3"/>
      <c r="G147" s="122" t="s">
        <v>198</v>
      </c>
      <c r="H147" s="122"/>
      <c r="I147" s="122"/>
      <c r="J147" s="3"/>
      <c r="K147" s="113"/>
      <c r="L147" s="113"/>
      <c r="M147" s="113"/>
      <c r="N147" s="113"/>
      <c r="O147" s="113"/>
      <c r="P147" s="113"/>
    </row>
    <row r="148" spans="3:16" x14ac:dyDescent="0.3">
      <c r="C148" s="114"/>
      <c r="D148" s="233" t="s">
        <v>452</v>
      </c>
      <c r="E148" s="234" t="s">
        <v>0</v>
      </c>
      <c r="F148" s="235">
        <v>1</v>
      </c>
      <c r="G148" s="236">
        <v>1.79</v>
      </c>
      <c r="H148" s="236"/>
      <c r="I148" s="236">
        <v>2.95</v>
      </c>
      <c r="J148" s="235">
        <v>1</v>
      </c>
      <c r="K148" s="237"/>
      <c r="L148" s="237">
        <f t="shared" ref="L148:L168" si="15">IF(F148="","",PRODUCT(F148:J148))</f>
        <v>5.2805000000000009</v>
      </c>
      <c r="M148" s="111"/>
      <c r="N148" s="111"/>
      <c r="O148" s="111"/>
      <c r="P148" s="111"/>
    </row>
    <row r="149" spans="3:16" x14ac:dyDescent="0.3">
      <c r="C149" s="114"/>
      <c r="D149" s="233" t="s">
        <v>453</v>
      </c>
      <c r="E149" s="234" t="s">
        <v>0</v>
      </c>
      <c r="F149" s="235">
        <v>1</v>
      </c>
      <c r="G149" s="236">
        <v>1.59</v>
      </c>
      <c r="H149" s="236"/>
      <c r="I149" s="236">
        <v>2.95</v>
      </c>
      <c r="J149" s="235">
        <v>1</v>
      </c>
      <c r="K149" s="237"/>
      <c r="L149" s="237">
        <f t="shared" si="15"/>
        <v>4.6905000000000001</v>
      </c>
      <c r="M149" s="111"/>
      <c r="N149" s="111"/>
      <c r="O149" s="111"/>
      <c r="P149" s="111"/>
    </row>
    <row r="150" spans="3:16" x14ac:dyDescent="0.3">
      <c r="C150" s="114"/>
      <c r="D150" s="233" t="s">
        <v>454</v>
      </c>
      <c r="E150" s="234" t="s">
        <v>0</v>
      </c>
      <c r="F150" s="235">
        <v>1</v>
      </c>
      <c r="G150" s="236">
        <f>1.97+1.76</f>
        <v>3.73</v>
      </c>
      <c r="H150" s="236"/>
      <c r="I150" s="236">
        <v>2.95</v>
      </c>
      <c r="J150" s="235">
        <v>1</v>
      </c>
      <c r="K150" s="237"/>
      <c r="L150" s="237">
        <f t="shared" si="15"/>
        <v>11.003500000000001</v>
      </c>
      <c r="M150" s="111"/>
      <c r="N150" s="111"/>
      <c r="O150" s="111"/>
      <c r="P150" s="111"/>
    </row>
    <row r="151" spans="3:16" x14ac:dyDescent="0.3">
      <c r="C151" s="114"/>
      <c r="D151" s="233" t="s">
        <v>455</v>
      </c>
      <c r="E151" s="234" t="s">
        <v>0</v>
      </c>
      <c r="F151" s="235">
        <v>1</v>
      </c>
      <c r="G151" s="236">
        <v>1.59</v>
      </c>
      <c r="H151" s="236"/>
      <c r="I151" s="236">
        <v>2.95</v>
      </c>
      <c r="J151" s="235">
        <v>1</v>
      </c>
      <c r="K151" s="237"/>
      <c r="L151" s="237">
        <f t="shared" si="15"/>
        <v>4.6905000000000001</v>
      </c>
      <c r="M151" s="111"/>
      <c r="N151" s="111"/>
      <c r="O151" s="111"/>
      <c r="P151" s="111"/>
    </row>
    <row r="152" spans="3:16" x14ac:dyDescent="0.3">
      <c r="C152" s="114"/>
      <c r="D152" s="233" t="s">
        <v>456</v>
      </c>
      <c r="E152" s="234" t="s">
        <v>0</v>
      </c>
      <c r="F152" s="235">
        <v>1</v>
      </c>
      <c r="G152" s="236">
        <f>2.7+0.7</f>
        <v>3.4000000000000004</v>
      </c>
      <c r="H152" s="236"/>
      <c r="I152" s="236">
        <v>2.95</v>
      </c>
      <c r="J152" s="235">
        <v>1</v>
      </c>
      <c r="K152" s="237"/>
      <c r="L152" s="237">
        <f t="shared" si="15"/>
        <v>10.030000000000001</v>
      </c>
      <c r="M152" s="111"/>
      <c r="N152" s="111"/>
      <c r="O152" s="111"/>
      <c r="P152" s="111"/>
    </row>
    <row r="153" spans="3:16" x14ac:dyDescent="0.3">
      <c r="C153" s="114"/>
      <c r="D153" s="233" t="s">
        <v>457</v>
      </c>
      <c r="E153" s="234" t="s">
        <v>0</v>
      </c>
      <c r="F153" s="235">
        <v>1</v>
      </c>
      <c r="G153" s="236">
        <v>1.1000000000000001</v>
      </c>
      <c r="H153" s="236"/>
      <c r="I153" s="236">
        <v>3.25</v>
      </c>
      <c r="J153" s="235">
        <v>1</v>
      </c>
      <c r="K153" s="237"/>
      <c r="L153" s="237">
        <f t="shared" si="15"/>
        <v>3.5750000000000002</v>
      </c>
      <c r="M153" s="111"/>
      <c r="N153" s="111"/>
      <c r="O153" s="111"/>
      <c r="P153" s="111"/>
    </row>
    <row r="154" spans="3:16" x14ac:dyDescent="0.3">
      <c r="C154" s="114"/>
      <c r="D154" s="233" t="s">
        <v>458</v>
      </c>
      <c r="E154" s="234" t="s">
        <v>0</v>
      </c>
      <c r="F154" s="235">
        <v>1</v>
      </c>
      <c r="G154" s="236">
        <v>1.55</v>
      </c>
      <c r="H154" s="236"/>
      <c r="I154" s="236">
        <v>2.95</v>
      </c>
      <c r="J154" s="235">
        <v>1</v>
      </c>
      <c r="K154" s="237"/>
      <c r="L154" s="237">
        <f t="shared" si="15"/>
        <v>4.5725000000000007</v>
      </c>
      <c r="M154" s="111"/>
      <c r="N154" s="111"/>
      <c r="O154" s="111"/>
      <c r="P154" s="111"/>
    </row>
    <row r="155" spans="3:16" x14ac:dyDescent="0.3">
      <c r="C155" s="114"/>
      <c r="D155" s="233" t="s">
        <v>459</v>
      </c>
      <c r="E155" s="234" t="s">
        <v>0</v>
      </c>
      <c r="F155" s="235">
        <v>1</v>
      </c>
      <c r="G155" s="236">
        <v>1.1000000000000001</v>
      </c>
      <c r="H155" s="236"/>
      <c r="I155" s="236">
        <v>3.25</v>
      </c>
      <c r="J155" s="235">
        <v>1</v>
      </c>
      <c r="K155" s="237"/>
      <c r="L155" s="237">
        <f t="shared" si="15"/>
        <v>3.5750000000000002</v>
      </c>
      <c r="M155" s="111"/>
      <c r="N155" s="111"/>
      <c r="O155" s="111"/>
      <c r="P155" s="111"/>
    </row>
    <row r="156" spans="3:16" x14ac:dyDescent="0.3">
      <c r="C156" s="114"/>
      <c r="D156" s="233" t="s">
        <v>460</v>
      </c>
      <c r="E156" s="234" t="s">
        <v>0</v>
      </c>
      <c r="F156" s="235">
        <v>1</v>
      </c>
      <c r="G156" s="236">
        <f>2.43+2.68</f>
        <v>5.1100000000000003</v>
      </c>
      <c r="H156" s="236"/>
      <c r="I156" s="236">
        <v>2.95</v>
      </c>
      <c r="J156" s="235">
        <v>1</v>
      </c>
      <c r="K156" s="237"/>
      <c r="L156" s="237">
        <f t="shared" si="15"/>
        <v>15.074500000000002</v>
      </c>
      <c r="M156" s="111"/>
      <c r="N156" s="111"/>
      <c r="O156" s="111"/>
      <c r="P156" s="111"/>
    </row>
    <row r="157" spans="3:16" x14ac:dyDescent="0.3">
      <c r="C157" s="114"/>
      <c r="D157" s="233" t="s">
        <v>461</v>
      </c>
      <c r="E157" s="234" t="s">
        <v>0</v>
      </c>
      <c r="F157" s="235">
        <v>1</v>
      </c>
      <c r="G157" s="236">
        <v>1.1000000000000001</v>
      </c>
      <c r="H157" s="236"/>
      <c r="I157" s="236">
        <v>3.25</v>
      </c>
      <c r="J157" s="235">
        <v>1</v>
      </c>
      <c r="K157" s="237"/>
      <c r="L157" s="237">
        <f t="shared" si="15"/>
        <v>3.5750000000000002</v>
      </c>
      <c r="M157" s="111"/>
      <c r="N157" s="111"/>
      <c r="O157" s="111"/>
      <c r="P157" s="111"/>
    </row>
    <row r="158" spans="3:16" x14ac:dyDescent="0.3">
      <c r="C158" s="114"/>
      <c r="D158" s="233" t="s">
        <v>462</v>
      </c>
      <c r="E158" s="234" t="s">
        <v>0</v>
      </c>
      <c r="F158" s="235">
        <v>1</v>
      </c>
      <c r="G158" s="236">
        <v>1.55</v>
      </c>
      <c r="H158" s="236"/>
      <c r="I158" s="236">
        <v>2.95</v>
      </c>
      <c r="J158" s="235">
        <v>1</v>
      </c>
      <c r="K158" s="237"/>
      <c r="L158" s="237">
        <f t="shared" si="15"/>
        <v>4.5725000000000007</v>
      </c>
      <c r="M158" s="111"/>
      <c r="N158" s="111"/>
      <c r="O158" s="111"/>
      <c r="P158" s="111"/>
    </row>
    <row r="159" spans="3:16" x14ac:dyDescent="0.3">
      <c r="C159" s="114"/>
      <c r="D159" s="233" t="s">
        <v>463</v>
      </c>
      <c r="E159" s="234" t="s">
        <v>0</v>
      </c>
      <c r="F159" s="235">
        <v>1</v>
      </c>
      <c r="G159" s="236">
        <f>2.45+0.7</f>
        <v>3.1500000000000004</v>
      </c>
      <c r="H159" s="236"/>
      <c r="I159" s="236">
        <v>2.95</v>
      </c>
      <c r="J159" s="235">
        <v>1</v>
      </c>
      <c r="K159" s="237"/>
      <c r="L159" s="237">
        <f t="shared" si="15"/>
        <v>9.2925000000000022</v>
      </c>
      <c r="M159" s="111"/>
      <c r="N159" s="111"/>
      <c r="O159" s="111"/>
      <c r="P159" s="111"/>
    </row>
    <row r="160" spans="3:16" x14ac:dyDescent="0.3">
      <c r="C160" s="114"/>
      <c r="D160" s="233" t="s">
        <v>464</v>
      </c>
      <c r="E160" s="234" t="s">
        <v>0</v>
      </c>
      <c r="F160" s="235">
        <v>1</v>
      </c>
      <c r="G160" s="236" t="s">
        <v>465</v>
      </c>
      <c r="H160" s="236">
        <v>0.6</v>
      </c>
      <c r="I160" s="236">
        <v>3.25</v>
      </c>
      <c r="J160" s="235">
        <v>1</v>
      </c>
      <c r="K160" s="237"/>
      <c r="L160" s="237">
        <f t="shared" si="15"/>
        <v>1.95</v>
      </c>
      <c r="M160" s="111"/>
      <c r="N160" s="111"/>
      <c r="O160" s="111"/>
      <c r="P160" s="111"/>
    </row>
    <row r="161" spans="3:16" x14ac:dyDescent="0.3">
      <c r="C161" s="114"/>
      <c r="D161" s="233" t="s">
        <v>466</v>
      </c>
      <c r="E161" s="234" t="s">
        <v>0</v>
      </c>
      <c r="F161" s="235">
        <v>1</v>
      </c>
      <c r="G161" s="236" t="s">
        <v>465</v>
      </c>
      <c r="H161" s="236">
        <v>0.95</v>
      </c>
      <c r="I161" s="236">
        <v>3.25</v>
      </c>
      <c r="J161" s="235">
        <v>1</v>
      </c>
      <c r="K161" s="237"/>
      <c r="L161" s="237">
        <f t="shared" si="15"/>
        <v>3.0874999999999999</v>
      </c>
      <c r="M161" s="111"/>
      <c r="N161" s="111"/>
      <c r="O161" s="111"/>
      <c r="P161" s="111"/>
    </row>
    <row r="162" spans="3:16" x14ac:dyDescent="0.3">
      <c r="C162" s="114"/>
      <c r="D162" s="233" t="s">
        <v>467</v>
      </c>
      <c r="E162" s="234" t="s">
        <v>0</v>
      </c>
      <c r="F162" s="235">
        <v>1</v>
      </c>
      <c r="G162" s="236" t="s">
        <v>465</v>
      </c>
      <c r="H162" s="236">
        <v>0.95</v>
      </c>
      <c r="I162" s="236">
        <v>3.25</v>
      </c>
      <c r="J162" s="235">
        <v>1</v>
      </c>
      <c r="K162" s="237"/>
      <c r="L162" s="237">
        <f t="shared" si="15"/>
        <v>3.0874999999999999</v>
      </c>
      <c r="M162" s="111"/>
      <c r="N162" s="111"/>
      <c r="O162" s="111"/>
      <c r="P162" s="111"/>
    </row>
    <row r="163" spans="3:16" x14ac:dyDescent="0.3">
      <c r="C163" s="114"/>
      <c r="D163" s="233" t="s">
        <v>468</v>
      </c>
      <c r="E163" s="234" t="s">
        <v>0</v>
      </c>
      <c r="F163" s="235">
        <v>1</v>
      </c>
      <c r="G163" s="236" t="s">
        <v>465</v>
      </c>
      <c r="H163" s="236">
        <v>0.95</v>
      </c>
      <c r="I163" s="236">
        <v>3.25</v>
      </c>
      <c r="J163" s="235">
        <v>1</v>
      </c>
      <c r="K163" s="237"/>
      <c r="L163" s="237">
        <f t="shared" si="15"/>
        <v>3.0874999999999999</v>
      </c>
      <c r="M163" s="111"/>
      <c r="N163" s="111"/>
      <c r="O163" s="111"/>
      <c r="P163" s="111"/>
    </row>
    <row r="164" spans="3:16" x14ac:dyDescent="0.3">
      <c r="C164" s="114"/>
      <c r="D164" s="233" t="s">
        <v>469</v>
      </c>
      <c r="E164" s="234" t="s">
        <v>0</v>
      </c>
      <c r="F164" s="235">
        <v>1</v>
      </c>
      <c r="G164" s="236" t="s">
        <v>465</v>
      </c>
      <c r="H164" s="236">
        <v>0.95</v>
      </c>
      <c r="I164" s="236">
        <v>3.25</v>
      </c>
      <c r="J164" s="235">
        <v>1</v>
      </c>
      <c r="K164" s="237"/>
      <c r="L164" s="237">
        <f t="shared" si="15"/>
        <v>3.0874999999999999</v>
      </c>
      <c r="M164" s="111"/>
      <c r="N164" s="111"/>
      <c r="O164" s="111"/>
      <c r="P164" s="111"/>
    </row>
    <row r="165" spans="3:16" x14ac:dyDescent="0.3">
      <c r="C165" s="114"/>
      <c r="D165" s="233" t="s">
        <v>470</v>
      </c>
      <c r="E165" s="234" t="s">
        <v>0</v>
      </c>
      <c r="F165" s="235">
        <v>1</v>
      </c>
      <c r="G165" s="236" t="s">
        <v>465</v>
      </c>
      <c r="H165" s="236">
        <v>0.95</v>
      </c>
      <c r="I165" s="236">
        <v>3.25</v>
      </c>
      <c r="J165" s="235">
        <v>1</v>
      </c>
      <c r="K165" s="237"/>
      <c r="L165" s="237">
        <f t="shared" si="15"/>
        <v>3.0874999999999999</v>
      </c>
      <c r="M165" s="111"/>
      <c r="N165" s="111"/>
      <c r="O165" s="111"/>
      <c r="P165" s="111"/>
    </row>
    <row r="166" spans="3:16" x14ac:dyDescent="0.3">
      <c r="C166" s="114"/>
      <c r="D166" s="233" t="s">
        <v>471</v>
      </c>
      <c r="E166" s="234" t="s">
        <v>0</v>
      </c>
      <c r="F166" s="235">
        <v>1</v>
      </c>
      <c r="G166" s="236" t="s">
        <v>465</v>
      </c>
      <c r="H166" s="236">
        <v>0.95</v>
      </c>
      <c r="I166" s="236">
        <v>3.25</v>
      </c>
      <c r="J166" s="235">
        <v>1</v>
      </c>
      <c r="K166" s="237"/>
      <c r="L166" s="237">
        <f t="shared" si="15"/>
        <v>3.0874999999999999</v>
      </c>
      <c r="M166" s="111"/>
      <c r="N166" s="111"/>
      <c r="O166" s="111"/>
      <c r="P166" s="111"/>
    </row>
    <row r="167" spans="3:16" x14ac:dyDescent="0.3">
      <c r="C167" s="114"/>
      <c r="D167" s="233" t="s">
        <v>472</v>
      </c>
      <c r="E167" s="234" t="s">
        <v>0</v>
      </c>
      <c r="F167" s="235">
        <v>1</v>
      </c>
      <c r="G167" s="236" t="s">
        <v>465</v>
      </c>
      <c r="H167" s="236">
        <v>0.95</v>
      </c>
      <c r="I167" s="236">
        <v>3.25</v>
      </c>
      <c r="J167" s="235">
        <v>1</v>
      </c>
      <c r="K167" s="237"/>
      <c r="L167" s="237">
        <f t="shared" si="15"/>
        <v>3.0874999999999999</v>
      </c>
      <c r="M167" s="111"/>
      <c r="N167" s="111"/>
      <c r="O167" s="111"/>
      <c r="P167" s="111"/>
    </row>
    <row r="168" spans="3:16" x14ac:dyDescent="0.3">
      <c r="C168" s="114"/>
      <c r="D168" s="233" t="s">
        <v>473</v>
      </c>
      <c r="E168" s="234" t="s">
        <v>0</v>
      </c>
      <c r="F168" s="235">
        <v>1</v>
      </c>
      <c r="G168" s="236" t="s">
        <v>465</v>
      </c>
      <c r="H168" s="236">
        <v>0.6</v>
      </c>
      <c r="I168" s="236">
        <v>3.25</v>
      </c>
      <c r="J168" s="235">
        <v>1</v>
      </c>
      <c r="K168" s="237"/>
      <c r="L168" s="237">
        <f t="shared" si="15"/>
        <v>1.95</v>
      </c>
      <c r="M168" s="111"/>
      <c r="N168" s="111"/>
      <c r="O168" s="111"/>
      <c r="P168" s="111"/>
    </row>
    <row r="169" spans="3:16" x14ac:dyDescent="0.3">
      <c r="C169" s="106"/>
      <c r="D169" s="115"/>
      <c r="E169" s="121"/>
      <c r="F169" s="3"/>
      <c r="G169" s="122"/>
      <c r="H169" s="122"/>
      <c r="I169" s="122"/>
      <c r="J169" s="3"/>
      <c r="K169" s="113"/>
      <c r="L169" s="113"/>
      <c r="M169" s="113"/>
      <c r="N169" s="113"/>
      <c r="O169" s="113"/>
      <c r="P169" s="113"/>
    </row>
    <row r="170" spans="3:16" x14ac:dyDescent="0.3">
      <c r="C170" s="99" t="s">
        <v>1183</v>
      </c>
      <c r="D170" s="226" t="s">
        <v>519</v>
      </c>
      <c r="E170" s="101" t="s">
        <v>0</v>
      </c>
      <c r="F170" s="1"/>
      <c r="G170" s="2"/>
      <c r="H170" s="2"/>
      <c r="I170" s="2"/>
      <c r="J170" s="3"/>
      <c r="K170" s="103"/>
      <c r="L170" s="103"/>
      <c r="M170" s="103"/>
      <c r="N170" s="103"/>
      <c r="O170" s="103"/>
      <c r="P170" s="103">
        <f>SUM(L170:L271)</f>
        <v>92.868499999999983</v>
      </c>
    </row>
    <row r="171" spans="3:16" x14ac:dyDescent="0.3">
      <c r="C171" s="106"/>
      <c r="D171" s="115" t="s">
        <v>127</v>
      </c>
      <c r="E171" s="121"/>
      <c r="F171" s="3"/>
      <c r="G171" s="122"/>
      <c r="H171" s="122"/>
      <c r="I171" s="122"/>
      <c r="J171" s="3"/>
      <c r="K171" s="113"/>
      <c r="L171" s="113"/>
      <c r="M171" s="113"/>
      <c r="N171" s="113"/>
      <c r="O171" s="113"/>
      <c r="P171" s="113"/>
    </row>
    <row r="172" spans="3:16" x14ac:dyDescent="0.3">
      <c r="C172" s="114"/>
      <c r="D172" s="233" t="s">
        <v>474</v>
      </c>
      <c r="E172" s="234" t="s">
        <v>0</v>
      </c>
      <c r="F172" s="235">
        <v>1</v>
      </c>
      <c r="G172" s="236">
        <v>3.65</v>
      </c>
      <c r="H172" s="236">
        <v>0.35</v>
      </c>
      <c r="I172" s="236"/>
      <c r="J172" s="235">
        <v>1</v>
      </c>
      <c r="K172" s="249"/>
      <c r="L172" s="237">
        <f>((I172)+H172)*F172*G172*J172</f>
        <v>1.2774999999999999</v>
      </c>
      <c r="M172" s="111"/>
      <c r="N172" s="111"/>
      <c r="O172" s="111"/>
      <c r="P172" s="111"/>
    </row>
    <row r="173" spans="3:16" x14ac:dyDescent="0.3">
      <c r="C173" s="114"/>
      <c r="D173" s="233" t="s">
        <v>475</v>
      </c>
      <c r="E173" s="234" t="s">
        <v>0</v>
      </c>
      <c r="F173" s="235">
        <v>1</v>
      </c>
      <c r="G173" s="236">
        <v>3.65</v>
      </c>
      <c r="H173" s="236">
        <v>0.35</v>
      </c>
      <c r="I173" s="236"/>
      <c r="J173" s="235">
        <v>1</v>
      </c>
      <c r="K173" s="249"/>
      <c r="L173" s="237">
        <f t="shared" ref="L173:L195" si="16">((I173)+H173)*F173*G173*J173</f>
        <v>1.2774999999999999</v>
      </c>
      <c r="M173" s="111"/>
      <c r="N173" s="111"/>
      <c r="O173" s="111"/>
      <c r="P173" s="111"/>
    </row>
    <row r="174" spans="3:16" x14ac:dyDescent="0.3">
      <c r="C174" s="114"/>
      <c r="D174" s="233" t="s">
        <v>476</v>
      </c>
      <c r="E174" s="234" t="s">
        <v>0</v>
      </c>
      <c r="F174" s="235">
        <v>1</v>
      </c>
      <c r="G174" s="236">
        <v>3.65</v>
      </c>
      <c r="H174" s="236">
        <v>0.35</v>
      </c>
      <c r="I174" s="236"/>
      <c r="J174" s="235">
        <v>1</v>
      </c>
      <c r="K174" s="249"/>
      <c r="L174" s="237">
        <f t="shared" si="16"/>
        <v>1.2774999999999999</v>
      </c>
      <c r="M174" s="111"/>
      <c r="N174" s="111"/>
      <c r="O174" s="111"/>
      <c r="P174" s="111"/>
    </row>
    <row r="175" spans="3:16" x14ac:dyDescent="0.3">
      <c r="C175" s="114"/>
      <c r="D175" s="233" t="s">
        <v>477</v>
      </c>
      <c r="E175" s="234" t="s">
        <v>0</v>
      </c>
      <c r="F175" s="235">
        <v>1</v>
      </c>
      <c r="G175" s="236">
        <v>3.65</v>
      </c>
      <c r="H175" s="236">
        <v>0.35</v>
      </c>
      <c r="I175" s="236"/>
      <c r="J175" s="235">
        <v>1</v>
      </c>
      <c r="K175" s="237"/>
      <c r="L175" s="237">
        <f t="shared" si="16"/>
        <v>1.2774999999999999</v>
      </c>
      <c r="M175" s="111"/>
      <c r="N175" s="111"/>
      <c r="O175" s="111"/>
      <c r="P175" s="111"/>
    </row>
    <row r="176" spans="3:16" x14ac:dyDescent="0.3">
      <c r="C176" s="114"/>
      <c r="D176" s="233" t="s">
        <v>437</v>
      </c>
      <c r="E176" s="234" t="s">
        <v>0</v>
      </c>
      <c r="F176" s="235">
        <v>1</v>
      </c>
      <c r="G176" s="236">
        <v>3.65</v>
      </c>
      <c r="H176" s="236">
        <v>0.1</v>
      </c>
      <c r="I176" s="236"/>
      <c r="J176" s="235">
        <v>1</v>
      </c>
      <c r="K176" s="237"/>
      <c r="L176" s="237">
        <f t="shared" si="16"/>
        <v>0.36499999999999999</v>
      </c>
      <c r="M176" s="111"/>
      <c r="N176" s="111"/>
      <c r="O176" s="111"/>
      <c r="P176" s="111"/>
    </row>
    <row r="177" spans="3:16" x14ac:dyDescent="0.3">
      <c r="C177" s="114"/>
      <c r="D177" s="233" t="s">
        <v>438</v>
      </c>
      <c r="E177" s="234" t="s">
        <v>0</v>
      </c>
      <c r="F177" s="235">
        <v>1</v>
      </c>
      <c r="G177" s="236">
        <v>3.65</v>
      </c>
      <c r="H177" s="236">
        <v>0.1</v>
      </c>
      <c r="I177" s="236"/>
      <c r="J177" s="235">
        <v>1</v>
      </c>
      <c r="K177" s="237"/>
      <c r="L177" s="237">
        <f t="shared" si="16"/>
        <v>0.36499999999999999</v>
      </c>
      <c r="M177" s="111"/>
      <c r="N177" s="111"/>
      <c r="O177" s="111"/>
      <c r="P177" s="111"/>
    </row>
    <row r="178" spans="3:16" x14ac:dyDescent="0.3">
      <c r="C178" s="114"/>
      <c r="D178" s="233" t="s">
        <v>439</v>
      </c>
      <c r="E178" s="234" t="s">
        <v>0</v>
      </c>
      <c r="F178" s="235">
        <v>1</v>
      </c>
      <c r="G178" s="236">
        <v>3.65</v>
      </c>
      <c r="H178" s="236">
        <v>0.1</v>
      </c>
      <c r="I178" s="236"/>
      <c r="J178" s="235">
        <v>1</v>
      </c>
      <c r="K178" s="237"/>
      <c r="L178" s="237">
        <f t="shared" si="16"/>
        <v>0.36499999999999999</v>
      </c>
      <c r="M178" s="111"/>
      <c r="N178" s="111"/>
      <c r="O178" s="111"/>
      <c r="P178" s="111"/>
    </row>
    <row r="179" spans="3:16" x14ac:dyDescent="0.3">
      <c r="C179" s="114"/>
      <c r="D179" s="233" t="s">
        <v>440</v>
      </c>
      <c r="E179" s="234" t="s">
        <v>0</v>
      </c>
      <c r="F179" s="235">
        <v>1</v>
      </c>
      <c r="G179" s="236">
        <v>3.65</v>
      </c>
      <c r="H179" s="236">
        <v>0.1</v>
      </c>
      <c r="I179" s="236"/>
      <c r="J179" s="235">
        <v>1</v>
      </c>
      <c r="K179" s="237"/>
      <c r="L179" s="237">
        <f t="shared" si="16"/>
        <v>0.36499999999999999</v>
      </c>
      <c r="M179" s="111"/>
      <c r="N179" s="111"/>
      <c r="O179" s="111"/>
      <c r="P179" s="111"/>
    </row>
    <row r="180" spans="3:16" x14ac:dyDescent="0.3">
      <c r="C180" s="114"/>
      <c r="D180" s="233" t="s">
        <v>478</v>
      </c>
      <c r="E180" s="234" t="s">
        <v>0</v>
      </c>
      <c r="F180" s="250">
        <v>2</v>
      </c>
      <c r="G180" s="251">
        <v>2.14</v>
      </c>
      <c r="H180" s="236">
        <v>0.35</v>
      </c>
      <c r="I180" s="236"/>
      <c r="J180" s="235">
        <v>1</v>
      </c>
      <c r="K180" s="237"/>
      <c r="L180" s="237">
        <f t="shared" si="16"/>
        <v>1.498</v>
      </c>
      <c r="M180" s="111"/>
      <c r="N180" s="111"/>
      <c r="O180" s="111"/>
      <c r="P180" s="111"/>
    </row>
    <row r="181" spans="3:16" x14ac:dyDescent="0.3">
      <c r="C181" s="114"/>
      <c r="D181" s="233" t="s">
        <v>479</v>
      </c>
      <c r="E181" s="234" t="s">
        <v>0</v>
      </c>
      <c r="F181" s="250">
        <v>2</v>
      </c>
      <c r="G181" s="251">
        <v>2.14</v>
      </c>
      <c r="H181" s="236">
        <v>0.35</v>
      </c>
      <c r="I181" s="236"/>
      <c r="J181" s="235">
        <v>1</v>
      </c>
      <c r="K181" s="237"/>
      <c r="L181" s="237">
        <f t="shared" si="16"/>
        <v>1.498</v>
      </c>
      <c r="M181" s="111"/>
      <c r="N181" s="111"/>
      <c r="O181" s="111"/>
      <c r="P181" s="111"/>
    </row>
    <row r="182" spans="3:16" x14ac:dyDescent="0.3">
      <c r="C182" s="114"/>
      <c r="D182" s="233" t="s">
        <v>480</v>
      </c>
      <c r="E182" s="234" t="s">
        <v>0</v>
      </c>
      <c r="F182" s="250">
        <v>2</v>
      </c>
      <c r="G182" s="251">
        <v>2.14</v>
      </c>
      <c r="H182" s="236">
        <v>0.35</v>
      </c>
      <c r="I182" s="236"/>
      <c r="J182" s="235">
        <v>1</v>
      </c>
      <c r="K182" s="237"/>
      <c r="L182" s="237">
        <f t="shared" si="16"/>
        <v>1.498</v>
      </c>
      <c r="M182" s="111"/>
      <c r="N182" s="111"/>
      <c r="O182" s="111"/>
      <c r="P182" s="111"/>
    </row>
    <row r="183" spans="3:16" x14ac:dyDescent="0.3">
      <c r="C183" s="114"/>
      <c r="D183" s="233" t="s">
        <v>481</v>
      </c>
      <c r="E183" s="234" t="s">
        <v>0</v>
      </c>
      <c r="F183" s="250">
        <v>2</v>
      </c>
      <c r="G183" s="251">
        <v>2.14</v>
      </c>
      <c r="H183" s="236">
        <v>0.35</v>
      </c>
      <c r="I183" s="236"/>
      <c r="J183" s="235">
        <v>1</v>
      </c>
      <c r="K183" s="237"/>
      <c r="L183" s="237">
        <f t="shared" si="16"/>
        <v>1.498</v>
      </c>
      <c r="M183" s="111"/>
      <c r="N183" s="111"/>
      <c r="O183" s="111"/>
      <c r="P183" s="111"/>
    </row>
    <row r="184" spans="3:16" x14ac:dyDescent="0.3">
      <c r="C184" s="114"/>
      <c r="D184" s="233" t="s">
        <v>441</v>
      </c>
      <c r="E184" s="234" t="s">
        <v>0</v>
      </c>
      <c r="F184" s="235">
        <v>1</v>
      </c>
      <c r="G184" s="236">
        <v>3.3</v>
      </c>
      <c r="H184" s="236"/>
      <c r="I184" s="236">
        <f>0.1</f>
        <v>0.1</v>
      </c>
      <c r="J184" s="235">
        <v>1</v>
      </c>
      <c r="K184" s="237"/>
      <c r="L184" s="237">
        <f t="shared" si="16"/>
        <v>0.33</v>
      </c>
      <c r="M184" s="111"/>
      <c r="N184" s="111"/>
      <c r="O184" s="111"/>
      <c r="P184" s="111"/>
    </row>
    <row r="185" spans="3:16" x14ac:dyDescent="0.3">
      <c r="C185" s="114"/>
      <c r="D185" s="233" t="s">
        <v>482</v>
      </c>
      <c r="E185" s="234" t="s">
        <v>0</v>
      </c>
      <c r="F185" s="235">
        <v>1</v>
      </c>
      <c r="G185" s="236">
        <v>2.95</v>
      </c>
      <c r="H185" s="236">
        <v>0.25</v>
      </c>
      <c r="I185" s="236"/>
      <c r="J185" s="235">
        <v>1</v>
      </c>
      <c r="K185" s="237"/>
      <c r="L185" s="237">
        <f t="shared" si="16"/>
        <v>0.73750000000000004</v>
      </c>
      <c r="M185" s="111"/>
      <c r="N185" s="111"/>
      <c r="O185" s="111"/>
      <c r="P185" s="111"/>
    </row>
    <row r="186" spans="3:16" x14ac:dyDescent="0.3">
      <c r="C186" s="114"/>
      <c r="D186" s="233" t="s">
        <v>483</v>
      </c>
      <c r="E186" s="234" t="s">
        <v>0</v>
      </c>
      <c r="F186" s="235">
        <v>1</v>
      </c>
      <c r="G186" s="236">
        <v>6.4</v>
      </c>
      <c r="H186" s="236">
        <v>0.6</v>
      </c>
      <c r="I186" s="236"/>
      <c r="J186" s="235">
        <v>1</v>
      </c>
      <c r="K186" s="237"/>
      <c r="L186" s="237">
        <f t="shared" si="16"/>
        <v>3.84</v>
      </c>
      <c r="M186" s="111"/>
      <c r="N186" s="111"/>
      <c r="O186" s="111"/>
      <c r="P186" s="111"/>
    </row>
    <row r="187" spans="3:16" x14ac:dyDescent="0.3">
      <c r="C187" s="114"/>
      <c r="D187" s="233" t="s">
        <v>484</v>
      </c>
      <c r="E187" s="234" t="s">
        <v>0</v>
      </c>
      <c r="F187" s="235">
        <v>1</v>
      </c>
      <c r="G187" s="236">
        <v>2.95</v>
      </c>
      <c r="H187" s="236">
        <v>0.25</v>
      </c>
      <c r="I187" s="236"/>
      <c r="J187" s="235">
        <v>1</v>
      </c>
      <c r="K187" s="237"/>
      <c r="L187" s="237">
        <f t="shared" si="16"/>
        <v>0.73750000000000004</v>
      </c>
      <c r="M187" s="111"/>
      <c r="N187" s="111"/>
      <c r="O187" s="111"/>
      <c r="P187" s="111"/>
    </row>
    <row r="188" spans="3:16" x14ac:dyDescent="0.3">
      <c r="C188" s="114"/>
      <c r="D188" s="233" t="s">
        <v>442</v>
      </c>
      <c r="E188" s="234" t="s">
        <v>0</v>
      </c>
      <c r="F188" s="235">
        <v>1</v>
      </c>
      <c r="G188" s="236">
        <v>3.3</v>
      </c>
      <c r="H188" s="236"/>
      <c r="I188" s="236">
        <f>0.1*2</f>
        <v>0.2</v>
      </c>
      <c r="J188" s="235">
        <v>1</v>
      </c>
      <c r="K188" s="237"/>
      <c r="L188" s="237">
        <f t="shared" si="16"/>
        <v>0.66</v>
      </c>
      <c r="M188" s="111"/>
      <c r="N188" s="111"/>
      <c r="O188" s="111"/>
      <c r="P188" s="111"/>
    </row>
    <row r="189" spans="3:16" x14ac:dyDescent="0.3">
      <c r="C189" s="114"/>
      <c r="D189" s="233" t="s">
        <v>485</v>
      </c>
      <c r="E189" s="234" t="s">
        <v>0</v>
      </c>
      <c r="F189" s="235">
        <v>1</v>
      </c>
      <c r="G189" s="236">
        <v>2.95</v>
      </c>
      <c r="H189" s="236">
        <v>0.25</v>
      </c>
      <c r="I189" s="236"/>
      <c r="J189" s="235">
        <v>1</v>
      </c>
      <c r="K189" s="237"/>
      <c r="L189" s="237">
        <f t="shared" si="16"/>
        <v>0.73750000000000004</v>
      </c>
      <c r="M189" s="111"/>
      <c r="N189" s="111"/>
      <c r="O189" s="111"/>
      <c r="P189" s="111"/>
    </row>
    <row r="190" spans="3:16" x14ac:dyDescent="0.3">
      <c r="C190" s="114"/>
      <c r="D190" s="233" t="s">
        <v>486</v>
      </c>
      <c r="E190" s="234" t="s">
        <v>0</v>
      </c>
      <c r="F190" s="235">
        <v>1</v>
      </c>
      <c r="G190" s="236">
        <v>6.4</v>
      </c>
      <c r="H190" s="236">
        <v>0.6</v>
      </c>
      <c r="I190" s="236"/>
      <c r="J190" s="235">
        <v>1</v>
      </c>
      <c r="K190" s="237"/>
      <c r="L190" s="237">
        <f t="shared" si="16"/>
        <v>3.84</v>
      </c>
      <c r="M190" s="111"/>
      <c r="N190" s="111"/>
      <c r="O190" s="111"/>
      <c r="P190" s="111"/>
    </row>
    <row r="191" spans="3:16" x14ac:dyDescent="0.3">
      <c r="C191" s="114"/>
      <c r="D191" s="233" t="s">
        <v>487</v>
      </c>
      <c r="E191" s="234" t="s">
        <v>0</v>
      </c>
      <c r="F191" s="235">
        <v>1</v>
      </c>
      <c r="G191" s="236">
        <v>2.95</v>
      </c>
      <c r="H191" s="236">
        <v>0.25</v>
      </c>
      <c r="I191" s="236"/>
      <c r="J191" s="235">
        <v>1</v>
      </c>
      <c r="K191" s="237"/>
      <c r="L191" s="237">
        <f t="shared" si="16"/>
        <v>0.73750000000000004</v>
      </c>
      <c r="M191" s="111"/>
      <c r="N191" s="111"/>
      <c r="O191" s="111"/>
      <c r="P191" s="111"/>
    </row>
    <row r="192" spans="3:16" x14ac:dyDescent="0.3">
      <c r="C192" s="114"/>
      <c r="D192" s="233" t="s">
        <v>443</v>
      </c>
      <c r="E192" s="234" t="s">
        <v>0</v>
      </c>
      <c r="F192" s="235">
        <v>1</v>
      </c>
      <c r="G192" s="236">
        <v>3.3</v>
      </c>
      <c r="H192" s="236"/>
      <c r="I192" s="236">
        <f>0.1</f>
        <v>0.1</v>
      </c>
      <c r="J192" s="235">
        <v>1</v>
      </c>
      <c r="K192" s="237"/>
      <c r="L192" s="237">
        <f t="shared" si="16"/>
        <v>0.33</v>
      </c>
      <c r="M192" s="111"/>
      <c r="N192" s="111"/>
      <c r="O192" s="111"/>
      <c r="P192" s="111"/>
    </row>
    <row r="193" spans="3:16" x14ac:dyDescent="0.3">
      <c r="C193" s="114"/>
      <c r="D193" s="233" t="s">
        <v>488</v>
      </c>
      <c r="E193" s="234" t="s">
        <v>0</v>
      </c>
      <c r="F193" s="235">
        <v>1</v>
      </c>
      <c r="G193" s="236">
        <v>2.95</v>
      </c>
      <c r="H193" s="236">
        <v>0.25</v>
      </c>
      <c r="I193" s="236"/>
      <c r="J193" s="235">
        <v>1</v>
      </c>
      <c r="K193" s="237"/>
      <c r="L193" s="237">
        <f t="shared" si="16"/>
        <v>0.73750000000000004</v>
      </c>
      <c r="M193" s="111"/>
      <c r="N193" s="111"/>
      <c r="O193" s="111"/>
      <c r="P193" s="111"/>
    </row>
    <row r="194" spans="3:16" x14ac:dyDescent="0.3">
      <c r="C194" s="114"/>
      <c r="D194" s="233" t="s">
        <v>238</v>
      </c>
      <c r="E194" s="234" t="s">
        <v>0</v>
      </c>
      <c r="F194" s="235">
        <v>12</v>
      </c>
      <c r="G194" s="236">
        <v>0.8</v>
      </c>
      <c r="H194" s="236">
        <v>0.15</v>
      </c>
      <c r="I194" s="236"/>
      <c r="J194" s="235">
        <v>1</v>
      </c>
      <c r="K194" s="237"/>
      <c r="L194" s="237">
        <f t="shared" si="16"/>
        <v>1.44</v>
      </c>
      <c r="M194" s="111"/>
      <c r="N194" s="111"/>
      <c r="O194" s="111"/>
      <c r="P194" s="111"/>
    </row>
    <row r="195" spans="3:16" x14ac:dyDescent="0.3">
      <c r="C195" s="114"/>
      <c r="D195" s="233" t="s">
        <v>239</v>
      </c>
      <c r="E195" s="234" t="s">
        <v>0</v>
      </c>
      <c r="F195" s="235">
        <v>12</v>
      </c>
      <c r="G195" s="236">
        <v>0.5</v>
      </c>
      <c r="H195" s="236">
        <v>0.1</v>
      </c>
      <c r="I195" s="236"/>
      <c r="J195" s="235">
        <v>1</v>
      </c>
      <c r="K195" s="237"/>
      <c r="L195" s="237">
        <f t="shared" si="16"/>
        <v>0.60000000000000009</v>
      </c>
      <c r="M195" s="111"/>
      <c r="N195" s="111"/>
      <c r="O195" s="111"/>
      <c r="P195" s="111"/>
    </row>
    <row r="196" spans="3:16" x14ac:dyDescent="0.3">
      <c r="C196" s="106"/>
      <c r="D196" s="115" t="s">
        <v>68</v>
      </c>
      <c r="E196" s="121"/>
      <c r="F196" s="3"/>
      <c r="G196" s="122"/>
      <c r="H196" s="122"/>
      <c r="I196" s="122"/>
      <c r="J196" s="3"/>
      <c r="K196" s="113"/>
      <c r="L196" s="113"/>
      <c r="M196" s="113"/>
      <c r="N196" s="113"/>
      <c r="O196" s="113"/>
      <c r="P196" s="113"/>
    </row>
    <row r="197" spans="3:16" x14ac:dyDescent="0.3">
      <c r="C197" s="114"/>
      <c r="D197" s="233" t="s">
        <v>474</v>
      </c>
      <c r="E197" s="234" t="s">
        <v>0</v>
      </c>
      <c r="F197" s="235">
        <v>1</v>
      </c>
      <c r="G197" s="236">
        <v>3.65</v>
      </c>
      <c r="H197" s="236">
        <v>0.35</v>
      </c>
      <c r="I197" s="236"/>
      <c r="J197" s="235">
        <v>1</v>
      </c>
      <c r="K197" s="249"/>
      <c r="L197" s="237">
        <f>((I197)+H197)*F197*G197*J197</f>
        <v>1.2774999999999999</v>
      </c>
      <c r="M197" s="111"/>
      <c r="N197" s="111"/>
      <c r="O197" s="111"/>
      <c r="P197" s="111"/>
    </row>
    <row r="198" spans="3:16" x14ac:dyDescent="0.3">
      <c r="C198" s="114"/>
      <c r="D198" s="233" t="s">
        <v>475</v>
      </c>
      <c r="E198" s="234" t="s">
        <v>0</v>
      </c>
      <c r="F198" s="235">
        <v>1</v>
      </c>
      <c r="G198" s="236">
        <v>3.65</v>
      </c>
      <c r="H198" s="236">
        <v>0.35</v>
      </c>
      <c r="I198" s="236"/>
      <c r="J198" s="235">
        <v>1</v>
      </c>
      <c r="K198" s="249"/>
      <c r="L198" s="237">
        <f t="shared" ref="L198:L220" si="17">((I198)+H198)*F198*G198*J198</f>
        <v>1.2774999999999999</v>
      </c>
      <c r="M198" s="111"/>
      <c r="N198" s="111"/>
      <c r="O198" s="111"/>
      <c r="P198" s="111"/>
    </row>
    <row r="199" spans="3:16" x14ac:dyDescent="0.3">
      <c r="C199" s="114"/>
      <c r="D199" s="233" t="s">
        <v>476</v>
      </c>
      <c r="E199" s="234" t="s">
        <v>0</v>
      </c>
      <c r="F199" s="235">
        <v>1</v>
      </c>
      <c r="G199" s="236">
        <v>3.65</v>
      </c>
      <c r="H199" s="236">
        <v>0.35</v>
      </c>
      <c r="I199" s="236"/>
      <c r="J199" s="235">
        <v>1</v>
      </c>
      <c r="K199" s="249"/>
      <c r="L199" s="237">
        <f t="shared" si="17"/>
        <v>1.2774999999999999</v>
      </c>
      <c r="M199" s="111"/>
      <c r="N199" s="111"/>
      <c r="O199" s="111"/>
      <c r="P199" s="111"/>
    </row>
    <row r="200" spans="3:16" x14ac:dyDescent="0.3">
      <c r="C200" s="114"/>
      <c r="D200" s="233" t="s">
        <v>477</v>
      </c>
      <c r="E200" s="234" t="s">
        <v>0</v>
      </c>
      <c r="F200" s="235">
        <v>1</v>
      </c>
      <c r="G200" s="236">
        <v>3.65</v>
      </c>
      <c r="H200" s="236">
        <v>0.35</v>
      </c>
      <c r="I200" s="236"/>
      <c r="J200" s="235">
        <v>1</v>
      </c>
      <c r="K200" s="237"/>
      <c r="L200" s="237">
        <f t="shared" si="17"/>
        <v>1.2774999999999999</v>
      </c>
      <c r="M200" s="111"/>
      <c r="N200" s="111"/>
      <c r="O200" s="111"/>
      <c r="P200" s="111"/>
    </row>
    <row r="201" spans="3:16" x14ac:dyDescent="0.3">
      <c r="C201" s="114"/>
      <c r="D201" s="233" t="s">
        <v>437</v>
      </c>
      <c r="E201" s="234" t="s">
        <v>0</v>
      </c>
      <c r="F201" s="235">
        <v>1</v>
      </c>
      <c r="G201" s="236">
        <v>3.65</v>
      </c>
      <c r="H201" s="236">
        <v>0.1</v>
      </c>
      <c r="I201" s="236"/>
      <c r="J201" s="235">
        <v>1</v>
      </c>
      <c r="K201" s="237"/>
      <c r="L201" s="237">
        <f t="shared" si="17"/>
        <v>0.36499999999999999</v>
      </c>
      <c r="M201" s="111"/>
      <c r="N201" s="111"/>
      <c r="O201" s="111"/>
      <c r="P201" s="111"/>
    </row>
    <row r="202" spans="3:16" x14ac:dyDescent="0.3">
      <c r="C202" s="114"/>
      <c r="D202" s="233" t="s">
        <v>438</v>
      </c>
      <c r="E202" s="234" t="s">
        <v>0</v>
      </c>
      <c r="F202" s="235">
        <v>1</v>
      </c>
      <c r="G202" s="236">
        <v>3.65</v>
      </c>
      <c r="H202" s="236">
        <v>0.1</v>
      </c>
      <c r="I202" s="236"/>
      <c r="J202" s="235">
        <v>1</v>
      </c>
      <c r="K202" s="237"/>
      <c r="L202" s="237">
        <f t="shared" si="17"/>
        <v>0.36499999999999999</v>
      </c>
      <c r="M202" s="111"/>
      <c r="N202" s="111"/>
      <c r="O202" s="111"/>
      <c r="P202" s="111"/>
    </row>
    <row r="203" spans="3:16" x14ac:dyDescent="0.3">
      <c r="C203" s="114"/>
      <c r="D203" s="233" t="s">
        <v>439</v>
      </c>
      <c r="E203" s="234" t="s">
        <v>0</v>
      </c>
      <c r="F203" s="235">
        <v>1</v>
      </c>
      <c r="G203" s="236">
        <v>3.65</v>
      </c>
      <c r="H203" s="236">
        <v>0.1</v>
      </c>
      <c r="I203" s="236"/>
      <c r="J203" s="235">
        <v>1</v>
      </c>
      <c r="K203" s="237"/>
      <c r="L203" s="237">
        <f t="shared" si="17"/>
        <v>0.36499999999999999</v>
      </c>
      <c r="M203" s="111"/>
      <c r="N203" s="111"/>
      <c r="O203" s="111"/>
      <c r="P203" s="111"/>
    </row>
    <row r="204" spans="3:16" x14ac:dyDescent="0.3">
      <c r="C204" s="114"/>
      <c r="D204" s="233" t="s">
        <v>440</v>
      </c>
      <c r="E204" s="234" t="s">
        <v>0</v>
      </c>
      <c r="F204" s="235">
        <v>1</v>
      </c>
      <c r="G204" s="236">
        <v>3.65</v>
      </c>
      <c r="H204" s="236">
        <v>0.1</v>
      </c>
      <c r="I204" s="236"/>
      <c r="J204" s="235">
        <v>1</v>
      </c>
      <c r="K204" s="237"/>
      <c r="L204" s="237">
        <f t="shared" si="17"/>
        <v>0.36499999999999999</v>
      </c>
      <c r="M204" s="111"/>
      <c r="N204" s="111"/>
      <c r="O204" s="111"/>
      <c r="P204" s="111"/>
    </row>
    <row r="205" spans="3:16" x14ac:dyDescent="0.3">
      <c r="C205" s="114"/>
      <c r="D205" s="233" t="s">
        <v>478</v>
      </c>
      <c r="E205" s="234" t="s">
        <v>0</v>
      </c>
      <c r="F205" s="250">
        <v>2</v>
      </c>
      <c r="G205" s="251">
        <v>2.14</v>
      </c>
      <c r="H205" s="236">
        <v>0.35</v>
      </c>
      <c r="I205" s="236"/>
      <c r="J205" s="235">
        <v>1</v>
      </c>
      <c r="K205" s="237"/>
      <c r="L205" s="237">
        <f t="shared" si="17"/>
        <v>1.498</v>
      </c>
      <c r="M205" s="111"/>
      <c r="N205" s="111"/>
      <c r="O205" s="111"/>
      <c r="P205" s="111"/>
    </row>
    <row r="206" spans="3:16" x14ac:dyDescent="0.3">
      <c r="C206" s="114"/>
      <c r="D206" s="233" t="s">
        <v>479</v>
      </c>
      <c r="E206" s="234" t="s">
        <v>0</v>
      </c>
      <c r="F206" s="250">
        <v>2</v>
      </c>
      <c r="G206" s="251">
        <v>2.14</v>
      </c>
      <c r="H206" s="236">
        <v>0.35</v>
      </c>
      <c r="I206" s="236"/>
      <c r="J206" s="235">
        <v>1</v>
      </c>
      <c r="K206" s="237"/>
      <c r="L206" s="237">
        <f t="shared" si="17"/>
        <v>1.498</v>
      </c>
      <c r="M206" s="111"/>
      <c r="N206" s="111"/>
      <c r="O206" s="111"/>
      <c r="P206" s="111"/>
    </row>
    <row r="207" spans="3:16" x14ac:dyDescent="0.3">
      <c r="C207" s="114"/>
      <c r="D207" s="233" t="s">
        <v>480</v>
      </c>
      <c r="E207" s="234" t="s">
        <v>0</v>
      </c>
      <c r="F207" s="250">
        <v>2</v>
      </c>
      <c r="G207" s="251">
        <v>2.14</v>
      </c>
      <c r="H207" s="236">
        <v>0.35</v>
      </c>
      <c r="I207" s="236"/>
      <c r="J207" s="235">
        <v>1</v>
      </c>
      <c r="K207" s="237"/>
      <c r="L207" s="237">
        <f t="shared" si="17"/>
        <v>1.498</v>
      </c>
      <c r="M207" s="111"/>
      <c r="N207" s="111"/>
      <c r="O207" s="111"/>
      <c r="P207" s="111"/>
    </row>
    <row r="208" spans="3:16" x14ac:dyDescent="0.3">
      <c r="C208" s="114"/>
      <c r="D208" s="233" t="s">
        <v>481</v>
      </c>
      <c r="E208" s="234" t="s">
        <v>0</v>
      </c>
      <c r="F208" s="250">
        <v>2</v>
      </c>
      <c r="G208" s="251">
        <v>2.14</v>
      </c>
      <c r="H208" s="236">
        <v>0.35</v>
      </c>
      <c r="I208" s="236"/>
      <c r="J208" s="235">
        <v>1</v>
      </c>
      <c r="K208" s="237"/>
      <c r="L208" s="237">
        <f t="shared" si="17"/>
        <v>1.498</v>
      </c>
      <c r="M208" s="111"/>
      <c r="N208" s="111"/>
      <c r="O208" s="111"/>
      <c r="P208" s="111"/>
    </row>
    <row r="209" spans="3:16" x14ac:dyDescent="0.3">
      <c r="C209" s="114"/>
      <c r="D209" s="233" t="s">
        <v>441</v>
      </c>
      <c r="E209" s="234" t="s">
        <v>0</v>
      </c>
      <c r="F209" s="235">
        <v>1</v>
      </c>
      <c r="G209" s="236">
        <v>3.3</v>
      </c>
      <c r="H209" s="236"/>
      <c r="I209" s="236">
        <f>0.1</f>
        <v>0.1</v>
      </c>
      <c r="J209" s="235">
        <v>1</v>
      </c>
      <c r="K209" s="237"/>
      <c r="L209" s="237">
        <f t="shared" si="17"/>
        <v>0.33</v>
      </c>
      <c r="M209" s="111"/>
      <c r="N209" s="111"/>
      <c r="O209" s="111"/>
      <c r="P209" s="111"/>
    </row>
    <row r="210" spans="3:16" x14ac:dyDescent="0.3">
      <c r="C210" s="114"/>
      <c r="D210" s="233" t="s">
        <v>482</v>
      </c>
      <c r="E210" s="234" t="s">
        <v>0</v>
      </c>
      <c r="F210" s="235">
        <v>1</v>
      </c>
      <c r="G210" s="236">
        <v>2.95</v>
      </c>
      <c r="H210" s="236">
        <v>0.25</v>
      </c>
      <c r="I210" s="236"/>
      <c r="J210" s="235">
        <v>1</v>
      </c>
      <c r="K210" s="237"/>
      <c r="L210" s="237">
        <f t="shared" si="17"/>
        <v>0.73750000000000004</v>
      </c>
      <c r="M210" s="111"/>
      <c r="N210" s="111"/>
      <c r="O210" s="111"/>
      <c r="P210" s="111"/>
    </row>
    <row r="211" spans="3:16" x14ac:dyDescent="0.3">
      <c r="C211" s="114"/>
      <c r="D211" s="233" t="s">
        <v>483</v>
      </c>
      <c r="E211" s="234" t="s">
        <v>0</v>
      </c>
      <c r="F211" s="235">
        <v>1</v>
      </c>
      <c r="G211" s="236">
        <v>6.4</v>
      </c>
      <c r="H211" s="236">
        <v>0.6</v>
      </c>
      <c r="I211" s="236"/>
      <c r="J211" s="235">
        <v>1</v>
      </c>
      <c r="K211" s="237"/>
      <c r="L211" s="237">
        <f t="shared" si="17"/>
        <v>3.84</v>
      </c>
      <c r="M211" s="111"/>
      <c r="N211" s="111"/>
      <c r="O211" s="111"/>
      <c r="P211" s="111"/>
    </row>
    <row r="212" spans="3:16" x14ac:dyDescent="0.3">
      <c r="C212" s="114"/>
      <c r="D212" s="233" t="s">
        <v>484</v>
      </c>
      <c r="E212" s="234" t="s">
        <v>0</v>
      </c>
      <c r="F212" s="235">
        <v>1</v>
      </c>
      <c r="G212" s="236">
        <v>2.95</v>
      </c>
      <c r="H212" s="236">
        <v>0.25</v>
      </c>
      <c r="I212" s="236"/>
      <c r="J212" s="235">
        <v>1</v>
      </c>
      <c r="K212" s="237"/>
      <c r="L212" s="237">
        <f t="shared" si="17"/>
        <v>0.73750000000000004</v>
      </c>
      <c r="M212" s="111"/>
      <c r="N212" s="111"/>
      <c r="O212" s="111"/>
      <c r="P212" s="111"/>
    </row>
    <row r="213" spans="3:16" x14ac:dyDescent="0.3">
      <c r="C213" s="114"/>
      <c r="D213" s="233" t="s">
        <v>442</v>
      </c>
      <c r="E213" s="234" t="s">
        <v>0</v>
      </c>
      <c r="F213" s="235">
        <v>1</v>
      </c>
      <c r="G213" s="236">
        <v>3.3</v>
      </c>
      <c r="H213" s="236"/>
      <c r="I213" s="236">
        <f>0.1*2</f>
        <v>0.2</v>
      </c>
      <c r="J213" s="235">
        <v>1</v>
      </c>
      <c r="K213" s="237"/>
      <c r="L213" s="237">
        <f t="shared" si="17"/>
        <v>0.66</v>
      </c>
      <c r="M213" s="111"/>
      <c r="N213" s="111"/>
      <c r="O213" s="111"/>
      <c r="P213" s="111"/>
    </row>
    <row r="214" spans="3:16" x14ac:dyDescent="0.3">
      <c r="C214" s="114"/>
      <c r="D214" s="233" t="s">
        <v>485</v>
      </c>
      <c r="E214" s="234" t="s">
        <v>0</v>
      </c>
      <c r="F214" s="235">
        <v>1</v>
      </c>
      <c r="G214" s="236">
        <v>2.95</v>
      </c>
      <c r="H214" s="236">
        <v>0.25</v>
      </c>
      <c r="I214" s="236"/>
      <c r="J214" s="235">
        <v>1</v>
      </c>
      <c r="K214" s="237"/>
      <c r="L214" s="237">
        <f t="shared" si="17"/>
        <v>0.73750000000000004</v>
      </c>
      <c r="M214" s="111"/>
      <c r="N214" s="111"/>
      <c r="O214" s="111"/>
      <c r="P214" s="111"/>
    </row>
    <row r="215" spans="3:16" x14ac:dyDescent="0.3">
      <c r="C215" s="114"/>
      <c r="D215" s="233" t="s">
        <v>486</v>
      </c>
      <c r="E215" s="234" t="s">
        <v>0</v>
      </c>
      <c r="F215" s="235">
        <v>1</v>
      </c>
      <c r="G215" s="236">
        <v>6.4</v>
      </c>
      <c r="H215" s="236">
        <v>0.6</v>
      </c>
      <c r="I215" s="236"/>
      <c r="J215" s="235">
        <v>1</v>
      </c>
      <c r="K215" s="237"/>
      <c r="L215" s="237">
        <f t="shared" si="17"/>
        <v>3.84</v>
      </c>
      <c r="M215" s="111"/>
      <c r="N215" s="111"/>
      <c r="O215" s="111"/>
      <c r="P215" s="111"/>
    </row>
    <row r="216" spans="3:16" x14ac:dyDescent="0.3">
      <c r="C216" s="114"/>
      <c r="D216" s="233" t="s">
        <v>487</v>
      </c>
      <c r="E216" s="234" t="s">
        <v>0</v>
      </c>
      <c r="F216" s="235">
        <v>1</v>
      </c>
      <c r="G216" s="236">
        <v>2.95</v>
      </c>
      <c r="H216" s="236">
        <v>0.25</v>
      </c>
      <c r="I216" s="236"/>
      <c r="J216" s="235">
        <v>1</v>
      </c>
      <c r="K216" s="237"/>
      <c r="L216" s="237">
        <f t="shared" si="17"/>
        <v>0.73750000000000004</v>
      </c>
      <c r="M216" s="111"/>
      <c r="N216" s="111"/>
      <c r="O216" s="111"/>
      <c r="P216" s="111"/>
    </row>
    <row r="217" spans="3:16" x14ac:dyDescent="0.3">
      <c r="C217" s="114"/>
      <c r="D217" s="233" t="s">
        <v>443</v>
      </c>
      <c r="E217" s="234" t="s">
        <v>0</v>
      </c>
      <c r="F217" s="235">
        <v>1</v>
      </c>
      <c r="G217" s="236">
        <v>3.3</v>
      </c>
      <c r="H217" s="236"/>
      <c r="I217" s="236">
        <f>0.1</f>
        <v>0.1</v>
      </c>
      <c r="J217" s="235">
        <v>1</v>
      </c>
      <c r="K217" s="237"/>
      <c r="L217" s="237">
        <f t="shared" si="17"/>
        <v>0.33</v>
      </c>
      <c r="M217" s="111"/>
      <c r="N217" s="111"/>
      <c r="O217" s="111"/>
      <c r="P217" s="111"/>
    </row>
    <row r="218" spans="3:16" x14ac:dyDescent="0.3">
      <c r="C218" s="114"/>
      <c r="D218" s="233" t="s">
        <v>488</v>
      </c>
      <c r="E218" s="234" t="s">
        <v>0</v>
      </c>
      <c r="F218" s="235">
        <v>1</v>
      </c>
      <c r="G218" s="236">
        <v>2.95</v>
      </c>
      <c r="H218" s="236">
        <v>0.25</v>
      </c>
      <c r="I218" s="236"/>
      <c r="J218" s="235">
        <v>1</v>
      </c>
      <c r="K218" s="237"/>
      <c r="L218" s="237">
        <f t="shared" si="17"/>
        <v>0.73750000000000004</v>
      </c>
      <c r="M218" s="111"/>
      <c r="N218" s="111"/>
      <c r="O218" s="111"/>
      <c r="P218" s="111"/>
    </row>
    <row r="219" spans="3:16" x14ac:dyDescent="0.3">
      <c r="C219" s="114"/>
      <c r="D219" s="233" t="s">
        <v>238</v>
      </c>
      <c r="E219" s="234" t="s">
        <v>0</v>
      </c>
      <c r="F219" s="235">
        <v>12</v>
      </c>
      <c r="G219" s="236">
        <v>0.8</v>
      </c>
      <c r="H219" s="236">
        <v>0.15</v>
      </c>
      <c r="I219" s="236"/>
      <c r="J219" s="235">
        <v>1</v>
      </c>
      <c r="K219" s="237"/>
      <c r="L219" s="237">
        <f t="shared" si="17"/>
        <v>1.44</v>
      </c>
      <c r="M219" s="111"/>
      <c r="N219" s="111"/>
      <c r="O219" s="111"/>
      <c r="P219" s="111"/>
    </row>
    <row r="220" spans="3:16" x14ac:dyDescent="0.3">
      <c r="C220" s="114"/>
      <c r="D220" s="233" t="s">
        <v>239</v>
      </c>
      <c r="E220" s="234" t="s">
        <v>0</v>
      </c>
      <c r="F220" s="235">
        <v>12</v>
      </c>
      <c r="G220" s="236">
        <v>0.5</v>
      </c>
      <c r="H220" s="236">
        <v>0.1</v>
      </c>
      <c r="I220" s="236"/>
      <c r="J220" s="235">
        <v>1</v>
      </c>
      <c r="K220" s="237"/>
      <c r="L220" s="237">
        <f t="shared" si="17"/>
        <v>0.60000000000000009</v>
      </c>
      <c r="M220" s="111"/>
      <c r="N220" s="111"/>
      <c r="O220" s="111"/>
      <c r="P220" s="111"/>
    </row>
    <row r="221" spans="3:16" x14ac:dyDescent="0.3">
      <c r="C221" s="106"/>
      <c r="D221" s="115" t="s">
        <v>106</v>
      </c>
      <c r="E221" s="121"/>
      <c r="F221" s="3"/>
      <c r="G221" s="122"/>
      <c r="H221" s="122"/>
      <c r="I221" s="122"/>
      <c r="J221" s="3"/>
      <c r="K221" s="113"/>
      <c r="L221" s="113"/>
      <c r="M221" s="113"/>
      <c r="N221" s="113"/>
      <c r="O221" s="113"/>
      <c r="P221" s="113"/>
    </row>
    <row r="222" spans="3:16" x14ac:dyDescent="0.3">
      <c r="C222" s="114"/>
      <c r="D222" s="233" t="s">
        <v>474</v>
      </c>
      <c r="E222" s="234" t="s">
        <v>0</v>
      </c>
      <c r="F222" s="235">
        <v>1</v>
      </c>
      <c r="G222" s="236">
        <v>3.65</v>
      </c>
      <c r="H222" s="236">
        <v>0.35</v>
      </c>
      <c r="I222" s="236"/>
      <c r="J222" s="235">
        <v>1</v>
      </c>
      <c r="K222" s="249"/>
      <c r="L222" s="237">
        <f>((I222)+H222)*F222*G222*J222</f>
        <v>1.2774999999999999</v>
      </c>
      <c r="M222" s="111"/>
      <c r="N222" s="111"/>
      <c r="O222" s="111"/>
      <c r="P222" s="111"/>
    </row>
    <row r="223" spans="3:16" x14ac:dyDescent="0.3">
      <c r="C223" s="114"/>
      <c r="D223" s="233" t="s">
        <v>475</v>
      </c>
      <c r="E223" s="234" t="s">
        <v>0</v>
      </c>
      <c r="F223" s="235">
        <v>1</v>
      </c>
      <c r="G223" s="236">
        <v>3.65</v>
      </c>
      <c r="H223" s="236">
        <v>0.35</v>
      </c>
      <c r="I223" s="236"/>
      <c r="J223" s="235">
        <v>1</v>
      </c>
      <c r="K223" s="249"/>
      <c r="L223" s="237">
        <f t="shared" ref="L223:L245" si="18">((I223)+H223)*F223*G223*J223</f>
        <v>1.2774999999999999</v>
      </c>
      <c r="M223" s="111"/>
      <c r="N223" s="111"/>
      <c r="O223" s="111"/>
      <c r="P223" s="111"/>
    </row>
    <row r="224" spans="3:16" x14ac:dyDescent="0.3">
      <c r="C224" s="114"/>
      <c r="D224" s="233" t="s">
        <v>476</v>
      </c>
      <c r="E224" s="234" t="s">
        <v>0</v>
      </c>
      <c r="F224" s="235">
        <v>1</v>
      </c>
      <c r="G224" s="236">
        <v>3.65</v>
      </c>
      <c r="H224" s="236">
        <v>0.35</v>
      </c>
      <c r="I224" s="236"/>
      <c r="J224" s="235">
        <v>1</v>
      </c>
      <c r="K224" s="249"/>
      <c r="L224" s="237">
        <f t="shared" si="18"/>
        <v>1.2774999999999999</v>
      </c>
      <c r="M224" s="111"/>
      <c r="N224" s="111"/>
      <c r="O224" s="111"/>
      <c r="P224" s="111"/>
    </row>
    <row r="225" spans="3:16" x14ac:dyDescent="0.3">
      <c r="C225" s="114"/>
      <c r="D225" s="233" t="s">
        <v>477</v>
      </c>
      <c r="E225" s="234" t="s">
        <v>0</v>
      </c>
      <c r="F225" s="235">
        <v>1</v>
      </c>
      <c r="G225" s="236">
        <v>3.65</v>
      </c>
      <c r="H225" s="236">
        <v>0.35</v>
      </c>
      <c r="I225" s="236"/>
      <c r="J225" s="235">
        <v>1</v>
      </c>
      <c r="K225" s="237"/>
      <c r="L225" s="237">
        <f t="shared" si="18"/>
        <v>1.2774999999999999</v>
      </c>
      <c r="M225" s="111"/>
      <c r="N225" s="111"/>
      <c r="O225" s="111"/>
      <c r="P225" s="111"/>
    </row>
    <row r="226" spans="3:16" x14ac:dyDescent="0.3">
      <c r="C226" s="114"/>
      <c r="D226" s="233" t="s">
        <v>437</v>
      </c>
      <c r="E226" s="234" t="s">
        <v>0</v>
      </c>
      <c r="F226" s="235">
        <v>1</v>
      </c>
      <c r="G226" s="236">
        <v>3.65</v>
      </c>
      <c r="H226" s="236">
        <v>0.1</v>
      </c>
      <c r="I226" s="236"/>
      <c r="J226" s="235">
        <v>1</v>
      </c>
      <c r="K226" s="237"/>
      <c r="L226" s="237">
        <f t="shared" si="18"/>
        <v>0.36499999999999999</v>
      </c>
      <c r="M226" s="111"/>
      <c r="N226" s="111"/>
      <c r="O226" s="111"/>
      <c r="P226" s="111"/>
    </row>
    <row r="227" spans="3:16" x14ac:dyDescent="0.3">
      <c r="C227" s="114"/>
      <c r="D227" s="233" t="s">
        <v>438</v>
      </c>
      <c r="E227" s="234" t="s">
        <v>0</v>
      </c>
      <c r="F227" s="235">
        <v>1</v>
      </c>
      <c r="G227" s="236">
        <v>3.65</v>
      </c>
      <c r="H227" s="236">
        <v>0.1</v>
      </c>
      <c r="I227" s="236"/>
      <c r="J227" s="235">
        <v>1</v>
      </c>
      <c r="K227" s="237"/>
      <c r="L227" s="237">
        <f t="shared" si="18"/>
        <v>0.36499999999999999</v>
      </c>
      <c r="M227" s="111"/>
      <c r="N227" s="111"/>
      <c r="O227" s="111"/>
      <c r="P227" s="111"/>
    </row>
    <row r="228" spans="3:16" x14ac:dyDescent="0.3">
      <c r="C228" s="114"/>
      <c r="D228" s="233" t="s">
        <v>439</v>
      </c>
      <c r="E228" s="234" t="s">
        <v>0</v>
      </c>
      <c r="F228" s="235">
        <v>1</v>
      </c>
      <c r="G228" s="236">
        <v>3.65</v>
      </c>
      <c r="H228" s="236">
        <v>0.1</v>
      </c>
      <c r="I228" s="236"/>
      <c r="J228" s="235">
        <v>1</v>
      </c>
      <c r="K228" s="237"/>
      <c r="L228" s="237">
        <f t="shared" si="18"/>
        <v>0.36499999999999999</v>
      </c>
      <c r="M228" s="111"/>
      <c r="N228" s="111"/>
      <c r="O228" s="111"/>
      <c r="P228" s="111"/>
    </row>
    <row r="229" spans="3:16" x14ac:dyDescent="0.3">
      <c r="C229" s="114"/>
      <c r="D229" s="233" t="s">
        <v>440</v>
      </c>
      <c r="E229" s="234" t="s">
        <v>0</v>
      </c>
      <c r="F229" s="235">
        <v>1</v>
      </c>
      <c r="G229" s="236">
        <v>3.65</v>
      </c>
      <c r="H229" s="236">
        <v>0.1</v>
      </c>
      <c r="I229" s="236"/>
      <c r="J229" s="235">
        <v>1</v>
      </c>
      <c r="K229" s="237"/>
      <c r="L229" s="237">
        <f t="shared" si="18"/>
        <v>0.36499999999999999</v>
      </c>
      <c r="M229" s="111"/>
      <c r="N229" s="111"/>
      <c r="O229" s="111"/>
      <c r="P229" s="111"/>
    </row>
    <row r="230" spans="3:16" x14ac:dyDescent="0.3">
      <c r="C230" s="114"/>
      <c r="D230" s="233" t="s">
        <v>478</v>
      </c>
      <c r="E230" s="234" t="s">
        <v>0</v>
      </c>
      <c r="F230" s="250">
        <v>2</v>
      </c>
      <c r="G230" s="251">
        <v>2.14</v>
      </c>
      <c r="H230" s="236">
        <v>0.35</v>
      </c>
      <c r="I230" s="236"/>
      <c r="J230" s="235">
        <v>1</v>
      </c>
      <c r="K230" s="237"/>
      <c r="L230" s="237">
        <f t="shared" si="18"/>
        <v>1.498</v>
      </c>
      <c r="M230" s="111"/>
      <c r="N230" s="111"/>
      <c r="O230" s="111"/>
      <c r="P230" s="111"/>
    </row>
    <row r="231" spans="3:16" x14ac:dyDescent="0.3">
      <c r="C231" s="114"/>
      <c r="D231" s="233" t="s">
        <v>479</v>
      </c>
      <c r="E231" s="234" t="s">
        <v>0</v>
      </c>
      <c r="F231" s="250">
        <v>2</v>
      </c>
      <c r="G231" s="251">
        <v>2.14</v>
      </c>
      <c r="H231" s="236">
        <v>0.35</v>
      </c>
      <c r="I231" s="236"/>
      <c r="J231" s="235">
        <v>1</v>
      </c>
      <c r="K231" s="237"/>
      <c r="L231" s="237">
        <f t="shared" si="18"/>
        <v>1.498</v>
      </c>
      <c r="M231" s="111"/>
      <c r="N231" s="111"/>
      <c r="O231" s="111"/>
      <c r="P231" s="111"/>
    </row>
    <row r="232" spans="3:16" x14ac:dyDescent="0.3">
      <c r="C232" s="114"/>
      <c r="D232" s="233" t="s">
        <v>480</v>
      </c>
      <c r="E232" s="234" t="s">
        <v>0</v>
      </c>
      <c r="F232" s="250">
        <v>2</v>
      </c>
      <c r="G232" s="251">
        <v>2.14</v>
      </c>
      <c r="H232" s="236">
        <v>0.35</v>
      </c>
      <c r="I232" s="236"/>
      <c r="J232" s="235">
        <v>1</v>
      </c>
      <c r="K232" s="237"/>
      <c r="L232" s="237">
        <f t="shared" si="18"/>
        <v>1.498</v>
      </c>
      <c r="M232" s="111"/>
      <c r="N232" s="111"/>
      <c r="O232" s="111"/>
      <c r="P232" s="111"/>
    </row>
    <row r="233" spans="3:16" x14ac:dyDescent="0.3">
      <c r="C233" s="114"/>
      <c r="D233" s="233" t="s">
        <v>481</v>
      </c>
      <c r="E233" s="234" t="s">
        <v>0</v>
      </c>
      <c r="F233" s="250">
        <v>2</v>
      </c>
      <c r="G233" s="251">
        <v>2.14</v>
      </c>
      <c r="H233" s="236">
        <v>0.35</v>
      </c>
      <c r="I233" s="236"/>
      <c r="J233" s="235">
        <v>1</v>
      </c>
      <c r="K233" s="237"/>
      <c r="L233" s="237">
        <f t="shared" si="18"/>
        <v>1.498</v>
      </c>
      <c r="M233" s="111"/>
      <c r="N233" s="111"/>
      <c r="O233" s="111"/>
      <c r="P233" s="111"/>
    </row>
    <row r="234" spans="3:16" x14ac:dyDescent="0.3">
      <c r="C234" s="114"/>
      <c r="D234" s="233" t="s">
        <v>441</v>
      </c>
      <c r="E234" s="234" t="s">
        <v>0</v>
      </c>
      <c r="F234" s="235">
        <v>1</v>
      </c>
      <c r="G234" s="236">
        <v>3.3</v>
      </c>
      <c r="H234" s="236"/>
      <c r="I234" s="236">
        <f>0.1</f>
        <v>0.1</v>
      </c>
      <c r="J234" s="235">
        <v>1</v>
      </c>
      <c r="K234" s="237"/>
      <c r="L234" s="237">
        <f t="shared" si="18"/>
        <v>0.33</v>
      </c>
      <c r="M234" s="111"/>
      <c r="N234" s="111"/>
      <c r="O234" s="111"/>
      <c r="P234" s="111"/>
    </row>
    <row r="235" spans="3:16" x14ac:dyDescent="0.3">
      <c r="C235" s="114"/>
      <c r="D235" s="233" t="s">
        <v>482</v>
      </c>
      <c r="E235" s="234" t="s">
        <v>0</v>
      </c>
      <c r="F235" s="235">
        <v>1</v>
      </c>
      <c r="G235" s="236">
        <v>2.95</v>
      </c>
      <c r="H235" s="236">
        <v>0.25</v>
      </c>
      <c r="I235" s="236"/>
      <c r="J235" s="235">
        <v>1</v>
      </c>
      <c r="K235" s="237"/>
      <c r="L235" s="237">
        <f t="shared" si="18"/>
        <v>0.73750000000000004</v>
      </c>
      <c r="M235" s="111"/>
      <c r="N235" s="111"/>
      <c r="O235" s="111"/>
      <c r="P235" s="111"/>
    </row>
    <row r="236" spans="3:16" x14ac:dyDescent="0.3">
      <c r="C236" s="114"/>
      <c r="D236" s="233" t="s">
        <v>483</v>
      </c>
      <c r="E236" s="234" t="s">
        <v>0</v>
      </c>
      <c r="F236" s="235">
        <v>1</v>
      </c>
      <c r="G236" s="236">
        <v>6.4</v>
      </c>
      <c r="H236" s="236">
        <v>0.6</v>
      </c>
      <c r="I236" s="236"/>
      <c r="J236" s="235">
        <v>1</v>
      </c>
      <c r="K236" s="237"/>
      <c r="L236" s="237">
        <f t="shared" si="18"/>
        <v>3.84</v>
      </c>
      <c r="M236" s="111"/>
      <c r="N236" s="111"/>
      <c r="O236" s="111"/>
      <c r="P236" s="111"/>
    </row>
    <row r="237" spans="3:16" x14ac:dyDescent="0.3">
      <c r="C237" s="114"/>
      <c r="D237" s="233" t="s">
        <v>484</v>
      </c>
      <c r="E237" s="234" t="s">
        <v>0</v>
      </c>
      <c r="F237" s="235">
        <v>1</v>
      </c>
      <c r="G237" s="236">
        <v>2.95</v>
      </c>
      <c r="H237" s="236">
        <v>0.25</v>
      </c>
      <c r="I237" s="236"/>
      <c r="J237" s="235">
        <v>1</v>
      </c>
      <c r="K237" s="237"/>
      <c r="L237" s="237">
        <f t="shared" si="18"/>
        <v>0.73750000000000004</v>
      </c>
      <c r="M237" s="111"/>
      <c r="N237" s="111"/>
      <c r="O237" s="111"/>
      <c r="P237" s="111"/>
    </row>
    <row r="238" spans="3:16" x14ac:dyDescent="0.3">
      <c r="C238" s="114"/>
      <c r="D238" s="233" t="s">
        <v>442</v>
      </c>
      <c r="E238" s="234" t="s">
        <v>0</v>
      </c>
      <c r="F238" s="235">
        <v>1</v>
      </c>
      <c r="G238" s="236">
        <v>3.3</v>
      </c>
      <c r="H238" s="236"/>
      <c r="I238" s="236">
        <f>0.1*2</f>
        <v>0.2</v>
      </c>
      <c r="J238" s="235">
        <v>1</v>
      </c>
      <c r="K238" s="237"/>
      <c r="L238" s="237">
        <f t="shared" si="18"/>
        <v>0.66</v>
      </c>
      <c r="M238" s="111"/>
      <c r="N238" s="111"/>
      <c r="O238" s="111"/>
      <c r="P238" s="111"/>
    </row>
    <row r="239" spans="3:16" x14ac:dyDescent="0.3">
      <c r="C239" s="114"/>
      <c r="D239" s="233" t="s">
        <v>485</v>
      </c>
      <c r="E239" s="234" t="s">
        <v>0</v>
      </c>
      <c r="F239" s="235">
        <v>1</v>
      </c>
      <c r="G239" s="236">
        <v>2.95</v>
      </c>
      <c r="H239" s="236">
        <v>0.25</v>
      </c>
      <c r="I239" s="236"/>
      <c r="J239" s="235">
        <v>1</v>
      </c>
      <c r="K239" s="237"/>
      <c r="L239" s="237">
        <f t="shared" si="18"/>
        <v>0.73750000000000004</v>
      </c>
      <c r="M239" s="111"/>
      <c r="N239" s="111"/>
      <c r="O239" s="111"/>
      <c r="P239" s="111"/>
    </row>
    <row r="240" spans="3:16" x14ac:dyDescent="0.3">
      <c r="C240" s="114"/>
      <c r="D240" s="233" t="s">
        <v>486</v>
      </c>
      <c r="E240" s="234" t="s">
        <v>0</v>
      </c>
      <c r="F240" s="235">
        <v>1</v>
      </c>
      <c r="G240" s="236">
        <v>6.4</v>
      </c>
      <c r="H240" s="236">
        <v>0.6</v>
      </c>
      <c r="I240" s="236"/>
      <c r="J240" s="235">
        <v>1</v>
      </c>
      <c r="K240" s="237"/>
      <c r="L240" s="237">
        <f t="shared" si="18"/>
        <v>3.84</v>
      </c>
      <c r="M240" s="111"/>
      <c r="N240" s="111"/>
      <c r="O240" s="111"/>
      <c r="P240" s="111"/>
    </row>
    <row r="241" spans="3:16" x14ac:dyDescent="0.3">
      <c r="C241" s="114"/>
      <c r="D241" s="233" t="s">
        <v>487</v>
      </c>
      <c r="E241" s="234" t="s">
        <v>0</v>
      </c>
      <c r="F241" s="235">
        <v>1</v>
      </c>
      <c r="G241" s="236">
        <v>2.95</v>
      </c>
      <c r="H241" s="236">
        <v>0.25</v>
      </c>
      <c r="I241" s="236"/>
      <c r="J241" s="235">
        <v>1</v>
      </c>
      <c r="K241" s="237"/>
      <c r="L241" s="237">
        <f t="shared" si="18"/>
        <v>0.73750000000000004</v>
      </c>
      <c r="M241" s="111"/>
      <c r="N241" s="111"/>
      <c r="O241" s="111"/>
      <c r="P241" s="111"/>
    </row>
    <row r="242" spans="3:16" x14ac:dyDescent="0.3">
      <c r="C242" s="114"/>
      <c r="D242" s="233" t="s">
        <v>443</v>
      </c>
      <c r="E242" s="234" t="s">
        <v>0</v>
      </c>
      <c r="F242" s="235">
        <v>1</v>
      </c>
      <c r="G242" s="236">
        <v>3.3</v>
      </c>
      <c r="H242" s="236"/>
      <c r="I242" s="236">
        <f>0.1</f>
        <v>0.1</v>
      </c>
      <c r="J242" s="235">
        <v>1</v>
      </c>
      <c r="K242" s="237"/>
      <c r="L242" s="237">
        <f t="shared" si="18"/>
        <v>0.33</v>
      </c>
      <c r="M242" s="111"/>
      <c r="N242" s="111"/>
      <c r="O242" s="111"/>
      <c r="P242" s="111"/>
    </row>
    <row r="243" spans="3:16" x14ac:dyDescent="0.3">
      <c r="C243" s="114"/>
      <c r="D243" s="233" t="s">
        <v>488</v>
      </c>
      <c r="E243" s="234" t="s">
        <v>0</v>
      </c>
      <c r="F243" s="235">
        <v>1</v>
      </c>
      <c r="G243" s="236">
        <v>2.95</v>
      </c>
      <c r="H243" s="236">
        <v>0.25</v>
      </c>
      <c r="I243" s="236"/>
      <c r="J243" s="235">
        <v>1</v>
      </c>
      <c r="K243" s="237"/>
      <c r="L243" s="237">
        <f t="shared" si="18"/>
        <v>0.73750000000000004</v>
      </c>
      <c r="M243" s="111"/>
      <c r="N243" s="111"/>
      <c r="O243" s="111"/>
      <c r="P243" s="111"/>
    </row>
    <row r="244" spans="3:16" x14ac:dyDescent="0.3">
      <c r="C244" s="114"/>
      <c r="D244" s="233" t="s">
        <v>238</v>
      </c>
      <c r="E244" s="234" t="s">
        <v>0</v>
      </c>
      <c r="F244" s="235">
        <v>12</v>
      </c>
      <c r="G244" s="236">
        <v>0.8</v>
      </c>
      <c r="H244" s="236">
        <v>0.15</v>
      </c>
      <c r="I244" s="236"/>
      <c r="J244" s="235">
        <v>1</v>
      </c>
      <c r="K244" s="237"/>
      <c r="L244" s="237">
        <f t="shared" si="18"/>
        <v>1.44</v>
      </c>
      <c r="M244" s="111"/>
      <c r="N244" s="111"/>
      <c r="O244" s="111"/>
      <c r="P244" s="111"/>
    </row>
    <row r="245" spans="3:16" x14ac:dyDescent="0.3">
      <c r="C245" s="114"/>
      <c r="D245" s="233" t="s">
        <v>239</v>
      </c>
      <c r="E245" s="234" t="s">
        <v>0</v>
      </c>
      <c r="F245" s="235">
        <v>12</v>
      </c>
      <c r="G245" s="236">
        <v>0.5</v>
      </c>
      <c r="H245" s="236">
        <v>0.1</v>
      </c>
      <c r="I245" s="236"/>
      <c r="J245" s="235">
        <v>1</v>
      </c>
      <c r="K245" s="237"/>
      <c r="L245" s="237">
        <f t="shared" si="18"/>
        <v>0.60000000000000009</v>
      </c>
      <c r="M245" s="111"/>
      <c r="N245" s="111"/>
      <c r="O245" s="111"/>
      <c r="P245" s="111"/>
    </row>
    <row r="246" spans="3:16" x14ac:dyDescent="0.3">
      <c r="C246" s="106"/>
      <c r="D246" s="115" t="s">
        <v>489</v>
      </c>
      <c r="E246" s="121"/>
      <c r="F246" s="3"/>
      <c r="G246" s="122"/>
      <c r="H246" s="122"/>
      <c r="I246" s="122"/>
      <c r="J246" s="3"/>
      <c r="K246" s="113"/>
      <c r="L246" s="113"/>
      <c r="M246" s="113"/>
      <c r="N246" s="113"/>
      <c r="O246" s="113"/>
      <c r="P246" s="113"/>
    </row>
    <row r="247" spans="3:16" x14ac:dyDescent="0.3">
      <c r="C247" s="114"/>
      <c r="D247" s="233" t="s">
        <v>490</v>
      </c>
      <c r="E247" s="234" t="s">
        <v>0</v>
      </c>
      <c r="F247" s="235">
        <v>1</v>
      </c>
      <c r="G247" s="236">
        <v>2.5</v>
      </c>
      <c r="H247" s="236"/>
      <c r="I247" s="236">
        <v>0.05</v>
      </c>
      <c r="J247" s="235">
        <v>1</v>
      </c>
      <c r="K247" s="237"/>
      <c r="L247" s="237">
        <f t="shared" ref="L247:L270" si="19">((I247)+H247)*F247*G247*J247</f>
        <v>0.125</v>
      </c>
      <c r="M247" s="111"/>
      <c r="N247" s="111"/>
      <c r="O247" s="111"/>
      <c r="P247" s="111"/>
    </row>
    <row r="248" spans="3:16" x14ac:dyDescent="0.3">
      <c r="C248" s="114"/>
      <c r="D248" s="233" t="s">
        <v>491</v>
      </c>
      <c r="E248" s="234" t="s">
        <v>0</v>
      </c>
      <c r="F248" s="235">
        <v>1</v>
      </c>
      <c r="G248" s="236">
        <v>2.5</v>
      </c>
      <c r="H248" s="236"/>
      <c r="I248" s="236">
        <v>0.05</v>
      </c>
      <c r="J248" s="235">
        <v>1</v>
      </c>
      <c r="K248" s="237"/>
      <c r="L248" s="237">
        <f t="shared" si="19"/>
        <v>0.125</v>
      </c>
      <c r="M248" s="111"/>
      <c r="N248" s="111"/>
      <c r="O248" s="111"/>
      <c r="P248" s="111"/>
    </row>
    <row r="249" spans="3:16" x14ac:dyDescent="0.3">
      <c r="C249" s="114"/>
      <c r="D249" s="233" t="s">
        <v>492</v>
      </c>
      <c r="E249" s="234" t="s">
        <v>0</v>
      </c>
      <c r="F249" s="235">
        <v>1</v>
      </c>
      <c r="G249" s="236">
        <v>2.5</v>
      </c>
      <c r="H249" s="236"/>
      <c r="I249" s="236">
        <v>0.05</v>
      </c>
      <c r="J249" s="235">
        <v>1</v>
      </c>
      <c r="K249" s="237"/>
      <c r="L249" s="237">
        <f t="shared" si="19"/>
        <v>0.125</v>
      </c>
      <c r="M249" s="111"/>
      <c r="N249" s="111"/>
      <c r="O249" s="111"/>
      <c r="P249" s="111"/>
    </row>
    <row r="250" spans="3:16" x14ac:dyDescent="0.3">
      <c r="C250" s="114"/>
      <c r="D250" s="233" t="s">
        <v>493</v>
      </c>
      <c r="E250" s="234" t="s">
        <v>0</v>
      </c>
      <c r="F250" s="235">
        <v>1</v>
      </c>
      <c r="G250" s="236">
        <v>2.5</v>
      </c>
      <c r="H250" s="236"/>
      <c r="I250" s="236">
        <v>0.05</v>
      </c>
      <c r="J250" s="235">
        <v>1</v>
      </c>
      <c r="K250" s="237"/>
      <c r="L250" s="237">
        <f t="shared" si="19"/>
        <v>0.125</v>
      </c>
      <c r="M250" s="111"/>
      <c r="N250" s="111"/>
      <c r="O250" s="111"/>
      <c r="P250" s="111"/>
    </row>
    <row r="251" spans="3:16" x14ac:dyDescent="0.3">
      <c r="C251" s="114"/>
      <c r="D251" s="233" t="s">
        <v>494</v>
      </c>
      <c r="E251" s="234" t="s">
        <v>0</v>
      </c>
      <c r="F251" s="235">
        <v>1</v>
      </c>
      <c r="G251" s="236">
        <v>2.5</v>
      </c>
      <c r="H251" s="236"/>
      <c r="I251" s="236">
        <v>0.05</v>
      </c>
      <c r="J251" s="235">
        <v>1</v>
      </c>
      <c r="K251" s="237"/>
      <c r="L251" s="237">
        <f t="shared" si="19"/>
        <v>0.125</v>
      </c>
      <c r="M251" s="111"/>
      <c r="N251" s="111"/>
      <c r="O251" s="111"/>
      <c r="P251" s="111"/>
    </row>
    <row r="252" spans="3:16" x14ac:dyDescent="0.3">
      <c r="C252" s="114"/>
      <c r="D252" s="233" t="s">
        <v>495</v>
      </c>
      <c r="E252" s="234" t="s">
        <v>0</v>
      </c>
      <c r="F252" s="235">
        <v>1</v>
      </c>
      <c r="G252" s="236">
        <v>2.5</v>
      </c>
      <c r="H252" s="236"/>
      <c r="I252" s="236">
        <v>0.05</v>
      </c>
      <c r="J252" s="235">
        <v>1</v>
      </c>
      <c r="K252" s="237"/>
      <c r="L252" s="237">
        <f t="shared" si="19"/>
        <v>0.125</v>
      </c>
      <c r="M252" s="111"/>
      <c r="N252" s="111"/>
      <c r="O252" s="111"/>
      <c r="P252" s="111"/>
    </row>
    <row r="253" spans="3:16" x14ac:dyDescent="0.3">
      <c r="C253" s="114"/>
      <c r="D253" s="233" t="s">
        <v>496</v>
      </c>
      <c r="E253" s="234" t="s">
        <v>0</v>
      </c>
      <c r="F253" s="235">
        <v>1</v>
      </c>
      <c r="G253" s="236">
        <v>2.5</v>
      </c>
      <c r="H253" s="236"/>
      <c r="I253" s="236">
        <v>0.05</v>
      </c>
      <c r="J253" s="235">
        <v>1</v>
      </c>
      <c r="K253" s="237"/>
      <c r="L253" s="237">
        <f t="shared" si="19"/>
        <v>0.125</v>
      </c>
      <c r="M253" s="111"/>
      <c r="N253" s="111"/>
      <c r="O253" s="111"/>
      <c r="P253" s="111"/>
    </row>
    <row r="254" spans="3:16" x14ac:dyDescent="0.3">
      <c r="C254" s="114"/>
      <c r="D254" s="233" t="s">
        <v>497</v>
      </c>
      <c r="E254" s="234" t="s">
        <v>0</v>
      </c>
      <c r="F254" s="235">
        <v>1</v>
      </c>
      <c r="G254" s="236">
        <v>2.5</v>
      </c>
      <c r="H254" s="236"/>
      <c r="I254" s="236">
        <v>0.05</v>
      </c>
      <c r="J254" s="235">
        <v>1</v>
      </c>
      <c r="K254" s="237"/>
      <c r="L254" s="237">
        <f t="shared" si="19"/>
        <v>0.125</v>
      </c>
      <c r="M254" s="111"/>
      <c r="N254" s="111"/>
      <c r="O254" s="111"/>
      <c r="P254" s="111"/>
    </row>
    <row r="255" spans="3:16" x14ac:dyDescent="0.3">
      <c r="C255" s="114"/>
      <c r="D255" s="233" t="s">
        <v>498</v>
      </c>
      <c r="E255" s="234" t="s">
        <v>0</v>
      </c>
      <c r="F255" s="235">
        <v>1</v>
      </c>
      <c r="G255" s="236">
        <v>2.5</v>
      </c>
      <c r="H255" s="236"/>
      <c r="I255" s="236">
        <f>0.05*2</f>
        <v>0.1</v>
      </c>
      <c r="J255" s="235">
        <v>1</v>
      </c>
      <c r="K255" s="237"/>
      <c r="L255" s="237">
        <f t="shared" si="19"/>
        <v>0.25</v>
      </c>
      <c r="M255" s="111"/>
      <c r="N255" s="111"/>
      <c r="O255" s="111"/>
      <c r="P255" s="111"/>
    </row>
    <row r="256" spans="3:16" x14ac:dyDescent="0.3">
      <c r="C256" s="114"/>
      <c r="D256" s="233" t="s">
        <v>499</v>
      </c>
      <c r="E256" s="234" t="s">
        <v>0</v>
      </c>
      <c r="F256" s="235">
        <v>1</v>
      </c>
      <c r="G256" s="236">
        <v>2.5</v>
      </c>
      <c r="H256" s="236"/>
      <c r="I256" s="236">
        <f t="shared" ref="I256:I262" si="20">0.05*2</f>
        <v>0.1</v>
      </c>
      <c r="J256" s="235">
        <v>1</v>
      </c>
      <c r="K256" s="237"/>
      <c r="L256" s="237">
        <f t="shared" si="19"/>
        <v>0.25</v>
      </c>
      <c r="M256" s="111"/>
      <c r="N256" s="111"/>
      <c r="O256" s="111"/>
      <c r="P256" s="111"/>
    </row>
    <row r="257" spans="3:16" x14ac:dyDescent="0.3">
      <c r="C257" s="114"/>
      <c r="D257" s="233" t="s">
        <v>500</v>
      </c>
      <c r="E257" s="234" t="s">
        <v>0</v>
      </c>
      <c r="F257" s="235">
        <v>1</v>
      </c>
      <c r="G257" s="236">
        <v>2.5</v>
      </c>
      <c r="H257" s="236"/>
      <c r="I257" s="236">
        <f t="shared" si="20"/>
        <v>0.1</v>
      </c>
      <c r="J257" s="235">
        <v>1</v>
      </c>
      <c r="K257" s="237"/>
      <c r="L257" s="237">
        <f t="shared" si="19"/>
        <v>0.25</v>
      </c>
      <c r="M257" s="111"/>
      <c r="N257" s="111"/>
      <c r="O257" s="111"/>
      <c r="P257" s="111"/>
    </row>
    <row r="258" spans="3:16" x14ac:dyDescent="0.3">
      <c r="C258" s="114"/>
      <c r="D258" s="233" t="s">
        <v>501</v>
      </c>
      <c r="E258" s="234" t="s">
        <v>0</v>
      </c>
      <c r="F258" s="235">
        <v>1</v>
      </c>
      <c r="G258" s="236">
        <v>2.5</v>
      </c>
      <c r="H258" s="236"/>
      <c r="I258" s="236">
        <f t="shared" si="20"/>
        <v>0.1</v>
      </c>
      <c r="J258" s="235">
        <v>1</v>
      </c>
      <c r="K258" s="237"/>
      <c r="L258" s="237">
        <f t="shared" si="19"/>
        <v>0.25</v>
      </c>
      <c r="M258" s="111"/>
      <c r="N258" s="111"/>
      <c r="O258" s="111"/>
      <c r="P258" s="111"/>
    </row>
    <row r="259" spans="3:16" x14ac:dyDescent="0.3">
      <c r="C259" s="114"/>
      <c r="D259" s="233" t="s">
        <v>502</v>
      </c>
      <c r="E259" s="234" t="s">
        <v>0</v>
      </c>
      <c r="F259" s="235">
        <v>1</v>
      </c>
      <c r="G259" s="236">
        <v>2.5</v>
      </c>
      <c r="H259" s="236"/>
      <c r="I259" s="236">
        <f t="shared" si="20"/>
        <v>0.1</v>
      </c>
      <c r="J259" s="235">
        <v>1</v>
      </c>
      <c r="K259" s="237"/>
      <c r="L259" s="237">
        <f t="shared" si="19"/>
        <v>0.25</v>
      </c>
      <c r="M259" s="111"/>
      <c r="N259" s="111"/>
      <c r="O259" s="111"/>
      <c r="P259" s="111"/>
    </row>
    <row r="260" spans="3:16" x14ac:dyDescent="0.3">
      <c r="C260" s="114"/>
      <c r="D260" s="233" t="s">
        <v>503</v>
      </c>
      <c r="E260" s="234" t="s">
        <v>0</v>
      </c>
      <c r="F260" s="235">
        <v>1</v>
      </c>
      <c r="G260" s="236">
        <v>2.5</v>
      </c>
      <c r="H260" s="236"/>
      <c r="I260" s="236">
        <f t="shared" si="20"/>
        <v>0.1</v>
      </c>
      <c r="J260" s="235">
        <v>1</v>
      </c>
      <c r="K260" s="237"/>
      <c r="L260" s="237">
        <f t="shared" si="19"/>
        <v>0.25</v>
      </c>
      <c r="M260" s="111"/>
      <c r="N260" s="111"/>
      <c r="O260" s="111"/>
      <c r="P260" s="111"/>
    </row>
    <row r="261" spans="3:16" x14ac:dyDescent="0.3">
      <c r="C261" s="114"/>
      <c r="D261" s="233" t="s">
        <v>504</v>
      </c>
      <c r="E261" s="234" t="s">
        <v>0</v>
      </c>
      <c r="F261" s="235">
        <v>1</v>
      </c>
      <c r="G261" s="236">
        <v>2.5</v>
      </c>
      <c r="H261" s="236"/>
      <c r="I261" s="236">
        <f t="shared" si="20"/>
        <v>0.1</v>
      </c>
      <c r="J261" s="235">
        <v>1</v>
      </c>
      <c r="K261" s="237"/>
      <c r="L261" s="237">
        <f t="shared" si="19"/>
        <v>0.25</v>
      </c>
      <c r="M261" s="111"/>
      <c r="N261" s="111"/>
      <c r="O261" s="111"/>
      <c r="P261" s="111"/>
    </row>
    <row r="262" spans="3:16" x14ac:dyDescent="0.3">
      <c r="C262" s="114"/>
      <c r="D262" s="233" t="s">
        <v>505</v>
      </c>
      <c r="E262" s="234" t="s">
        <v>0</v>
      </c>
      <c r="F262" s="235">
        <v>1</v>
      </c>
      <c r="G262" s="236">
        <v>2.5</v>
      </c>
      <c r="H262" s="236"/>
      <c r="I262" s="236">
        <f t="shared" si="20"/>
        <v>0.1</v>
      </c>
      <c r="J262" s="235">
        <v>1</v>
      </c>
      <c r="K262" s="237"/>
      <c r="L262" s="237">
        <f t="shared" si="19"/>
        <v>0.25</v>
      </c>
      <c r="M262" s="111"/>
      <c r="N262" s="111"/>
      <c r="O262" s="111"/>
      <c r="P262" s="111"/>
    </row>
    <row r="263" spans="3:16" x14ac:dyDescent="0.3">
      <c r="C263" s="114"/>
      <c r="D263" s="233" t="s">
        <v>506</v>
      </c>
      <c r="E263" s="234" t="s">
        <v>0</v>
      </c>
      <c r="F263" s="235">
        <v>1</v>
      </c>
      <c r="G263" s="236">
        <v>2.5</v>
      </c>
      <c r="H263" s="236"/>
      <c r="I263" s="236">
        <f>0.35+0.05</f>
        <v>0.39999999999999997</v>
      </c>
      <c r="J263" s="235">
        <v>1</v>
      </c>
      <c r="K263" s="237"/>
      <c r="L263" s="237">
        <f t="shared" si="19"/>
        <v>0.99999999999999989</v>
      </c>
      <c r="M263" s="111"/>
      <c r="N263" s="111"/>
      <c r="O263" s="111"/>
      <c r="P263" s="111"/>
    </row>
    <row r="264" spans="3:16" x14ac:dyDescent="0.3">
      <c r="C264" s="114"/>
      <c r="D264" s="233" t="s">
        <v>507</v>
      </c>
      <c r="E264" s="234" t="s">
        <v>0</v>
      </c>
      <c r="F264" s="235">
        <v>1</v>
      </c>
      <c r="G264" s="236">
        <v>2.5</v>
      </c>
      <c r="H264" s="236"/>
      <c r="I264" s="236">
        <f t="shared" ref="I264:I270" si="21">0.35+0.05</f>
        <v>0.39999999999999997</v>
      </c>
      <c r="J264" s="235">
        <v>1</v>
      </c>
      <c r="K264" s="237"/>
      <c r="L264" s="237">
        <f t="shared" si="19"/>
        <v>0.99999999999999989</v>
      </c>
      <c r="M264" s="111"/>
      <c r="N264" s="111"/>
      <c r="O264" s="111"/>
      <c r="P264" s="111"/>
    </row>
    <row r="265" spans="3:16" x14ac:dyDescent="0.3">
      <c r="C265" s="114"/>
      <c r="D265" s="233" t="s">
        <v>508</v>
      </c>
      <c r="E265" s="234" t="s">
        <v>0</v>
      </c>
      <c r="F265" s="235">
        <v>1</v>
      </c>
      <c r="G265" s="236">
        <v>2.5</v>
      </c>
      <c r="H265" s="236"/>
      <c r="I265" s="236">
        <f t="shared" si="21"/>
        <v>0.39999999999999997</v>
      </c>
      <c r="J265" s="235">
        <v>1</v>
      </c>
      <c r="K265" s="237"/>
      <c r="L265" s="237">
        <f t="shared" si="19"/>
        <v>0.99999999999999989</v>
      </c>
      <c r="M265" s="111"/>
      <c r="N265" s="111"/>
      <c r="O265" s="111"/>
      <c r="P265" s="111"/>
    </row>
    <row r="266" spans="3:16" x14ac:dyDescent="0.3">
      <c r="C266" s="114"/>
      <c r="D266" s="233" t="s">
        <v>509</v>
      </c>
      <c r="E266" s="234" t="s">
        <v>0</v>
      </c>
      <c r="F266" s="235">
        <v>1</v>
      </c>
      <c r="G266" s="236">
        <v>2.5</v>
      </c>
      <c r="H266" s="236"/>
      <c r="I266" s="236">
        <f t="shared" si="21"/>
        <v>0.39999999999999997</v>
      </c>
      <c r="J266" s="235">
        <v>1</v>
      </c>
      <c r="K266" s="237"/>
      <c r="L266" s="237">
        <f t="shared" si="19"/>
        <v>0.99999999999999989</v>
      </c>
      <c r="M266" s="111"/>
      <c r="N266" s="111"/>
      <c r="O266" s="111"/>
      <c r="P266" s="111"/>
    </row>
    <row r="267" spans="3:16" x14ac:dyDescent="0.3">
      <c r="C267" s="114"/>
      <c r="D267" s="233" t="s">
        <v>510</v>
      </c>
      <c r="E267" s="234" t="s">
        <v>0</v>
      </c>
      <c r="F267" s="235">
        <v>1</v>
      </c>
      <c r="G267" s="236">
        <v>2.5</v>
      </c>
      <c r="H267" s="236"/>
      <c r="I267" s="236">
        <f t="shared" si="21"/>
        <v>0.39999999999999997</v>
      </c>
      <c r="J267" s="235">
        <v>1</v>
      </c>
      <c r="K267" s="237"/>
      <c r="L267" s="237">
        <f t="shared" si="19"/>
        <v>0.99999999999999989</v>
      </c>
      <c r="M267" s="111"/>
      <c r="N267" s="111"/>
      <c r="O267" s="111"/>
      <c r="P267" s="111"/>
    </row>
    <row r="268" spans="3:16" x14ac:dyDescent="0.3">
      <c r="C268" s="114"/>
      <c r="D268" s="233" t="s">
        <v>511</v>
      </c>
      <c r="E268" s="234" t="s">
        <v>0</v>
      </c>
      <c r="F268" s="235">
        <v>1</v>
      </c>
      <c r="G268" s="236">
        <v>2.5</v>
      </c>
      <c r="H268" s="236"/>
      <c r="I268" s="236">
        <f t="shared" si="21"/>
        <v>0.39999999999999997</v>
      </c>
      <c r="J268" s="235">
        <v>1</v>
      </c>
      <c r="K268" s="237"/>
      <c r="L268" s="237">
        <f t="shared" si="19"/>
        <v>0.99999999999999989</v>
      </c>
      <c r="M268" s="111"/>
      <c r="N268" s="111"/>
      <c r="O268" s="111"/>
      <c r="P268" s="111"/>
    </row>
    <row r="269" spans="3:16" x14ac:dyDescent="0.3">
      <c r="C269" s="114"/>
      <c r="D269" s="233" t="s">
        <v>512</v>
      </c>
      <c r="E269" s="234" t="s">
        <v>0</v>
      </c>
      <c r="F269" s="235">
        <v>1</v>
      </c>
      <c r="G269" s="236">
        <v>2.5</v>
      </c>
      <c r="H269" s="236"/>
      <c r="I269" s="236">
        <f t="shared" si="21"/>
        <v>0.39999999999999997</v>
      </c>
      <c r="J269" s="235">
        <v>1</v>
      </c>
      <c r="K269" s="237"/>
      <c r="L269" s="237">
        <f t="shared" si="19"/>
        <v>0.99999999999999989</v>
      </c>
      <c r="M269" s="111"/>
      <c r="N269" s="111"/>
      <c r="O269" s="111"/>
      <c r="P269" s="111"/>
    </row>
    <row r="270" spans="3:16" x14ac:dyDescent="0.3">
      <c r="C270" s="114"/>
      <c r="D270" s="233" t="s">
        <v>513</v>
      </c>
      <c r="E270" s="234" t="s">
        <v>0</v>
      </c>
      <c r="F270" s="235">
        <v>1</v>
      </c>
      <c r="G270" s="236">
        <v>2.5</v>
      </c>
      <c r="H270" s="236"/>
      <c r="I270" s="236">
        <f t="shared" si="21"/>
        <v>0.39999999999999997</v>
      </c>
      <c r="J270" s="235">
        <v>1</v>
      </c>
      <c r="K270" s="237"/>
      <c r="L270" s="237">
        <f t="shared" si="19"/>
        <v>0.99999999999999989</v>
      </c>
      <c r="M270" s="111"/>
      <c r="N270" s="111"/>
      <c r="O270" s="111"/>
      <c r="P270" s="111"/>
    </row>
    <row r="271" spans="3:16" ht="14.4" x14ac:dyDescent="0.3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3:16" x14ac:dyDescent="0.3">
      <c r="C272" s="99" t="s">
        <v>1184</v>
      </c>
      <c r="D272" s="226" t="s">
        <v>420</v>
      </c>
      <c r="E272" s="132" t="s">
        <v>0</v>
      </c>
      <c r="F272" s="1"/>
      <c r="G272" s="2"/>
      <c r="H272" s="2"/>
      <c r="I272" s="2"/>
      <c r="J272" s="3"/>
      <c r="K272" s="103"/>
      <c r="L272" s="103"/>
      <c r="M272" s="103"/>
      <c r="N272" s="103"/>
      <c r="O272" s="103"/>
      <c r="P272" s="103">
        <f>SUM(L272:L296)</f>
        <v>52.47</v>
      </c>
    </row>
    <row r="273" spans="3:16" x14ac:dyDescent="0.3">
      <c r="C273" s="118"/>
      <c r="D273" s="252" t="s">
        <v>514</v>
      </c>
      <c r="E273" s="101"/>
      <c r="F273" s="1"/>
      <c r="G273" s="2"/>
      <c r="H273" s="2"/>
      <c r="I273" s="2"/>
      <c r="J273" s="3"/>
      <c r="K273" s="113"/>
      <c r="L273" s="113"/>
      <c r="M273" s="113"/>
      <c r="N273" s="113"/>
      <c r="O273" s="113"/>
      <c r="P273" s="113"/>
    </row>
    <row r="274" spans="3:16" x14ac:dyDescent="0.3">
      <c r="C274" s="118"/>
      <c r="D274" s="253" t="s">
        <v>127</v>
      </c>
      <c r="E274" s="254"/>
      <c r="F274" s="255"/>
      <c r="G274" s="256"/>
      <c r="H274" s="256"/>
      <c r="I274" s="256"/>
      <c r="J274" s="229"/>
      <c r="K274" s="231"/>
      <c r="L274" s="231"/>
      <c r="M274" s="113"/>
      <c r="N274" s="113"/>
      <c r="O274" s="113"/>
      <c r="P274" s="113"/>
    </row>
    <row r="275" spans="3:16" x14ac:dyDescent="0.3">
      <c r="C275" s="118"/>
      <c r="D275" s="257" t="s">
        <v>266</v>
      </c>
      <c r="E275" s="254"/>
      <c r="F275" s="255"/>
      <c r="G275" s="256"/>
      <c r="H275" s="256"/>
      <c r="I275" s="256"/>
      <c r="J275" s="229"/>
      <c r="K275" s="231"/>
      <c r="L275" s="231"/>
      <c r="M275" s="113"/>
      <c r="N275" s="113"/>
      <c r="O275" s="113"/>
      <c r="P275" s="113"/>
    </row>
    <row r="276" spans="3:16" x14ac:dyDescent="0.3">
      <c r="C276" s="114"/>
      <c r="D276" s="233" t="s">
        <v>139</v>
      </c>
      <c r="E276" s="239" t="s">
        <v>0</v>
      </c>
      <c r="F276" s="235">
        <v>12</v>
      </c>
      <c r="G276" s="236">
        <v>0.15</v>
      </c>
      <c r="H276" s="236">
        <v>0.55000000000000004</v>
      </c>
      <c r="I276" s="236">
        <v>8</v>
      </c>
      <c r="J276" s="235">
        <v>1</v>
      </c>
      <c r="K276" s="237"/>
      <c r="L276" s="237">
        <f>((H276+I276)*2)*F276*G276*J276</f>
        <v>30.78</v>
      </c>
      <c r="M276" s="111"/>
      <c r="N276" s="111"/>
      <c r="O276" s="111"/>
      <c r="P276" s="111"/>
    </row>
    <row r="277" spans="3:16" x14ac:dyDescent="0.3">
      <c r="C277" s="118"/>
      <c r="D277" s="257" t="s">
        <v>515</v>
      </c>
      <c r="E277" s="254"/>
      <c r="F277" s="255"/>
      <c r="G277" s="256"/>
      <c r="H277" s="256"/>
      <c r="I277" s="256"/>
      <c r="J277" s="229"/>
      <c r="K277" s="231"/>
      <c r="L277" s="231"/>
      <c r="M277" s="113"/>
      <c r="N277" s="113"/>
      <c r="O277" s="113"/>
      <c r="P277" s="113"/>
    </row>
    <row r="278" spans="3:16" x14ac:dyDescent="0.3">
      <c r="C278" s="118"/>
      <c r="D278" s="253" t="s">
        <v>127</v>
      </c>
      <c r="E278" s="254"/>
      <c r="F278" s="255"/>
      <c r="G278" s="256"/>
      <c r="H278" s="256"/>
      <c r="I278" s="256"/>
      <c r="J278" s="229"/>
      <c r="K278" s="231"/>
      <c r="L278" s="231"/>
      <c r="M278" s="113"/>
      <c r="N278" s="113"/>
      <c r="O278" s="113"/>
      <c r="P278" s="113"/>
    </row>
    <row r="279" spans="3:16" x14ac:dyDescent="0.3">
      <c r="C279" s="118"/>
      <c r="D279" s="257" t="s">
        <v>266</v>
      </c>
      <c r="E279" s="254"/>
      <c r="F279" s="255"/>
      <c r="G279" s="256"/>
      <c r="H279" s="256"/>
      <c r="I279" s="256"/>
      <c r="J279" s="229"/>
      <c r="K279" s="231"/>
      <c r="L279" s="231"/>
      <c r="M279" s="113"/>
      <c r="N279" s="113"/>
      <c r="O279" s="113"/>
      <c r="P279" s="113"/>
    </row>
    <row r="280" spans="3:16" x14ac:dyDescent="0.3">
      <c r="C280" s="114"/>
      <c r="D280" s="233" t="s">
        <v>137</v>
      </c>
      <c r="E280" s="239" t="s">
        <v>0</v>
      </c>
      <c r="F280" s="235">
        <v>2</v>
      </c>
      <c r="G280" s="236">
        <v>0.15</v>
      </c>
      <c r="H280" s="236">
        <v>2.4500000000000002</v>
      </c>
      <c r="I280" s="236">
        <v>0.9</v>
      </c>
      <c r="J280" s="235">
        <v>1</v>
      </c>
      <c r="K280" s="237"/>
      <c r="L280" s="237">
        <f>((H280+I280)*2)*F280*G280*J280</f>
        <v>2.0099999999999998</v>
      </c>
      <c r="M280" s="111"/>
      <c r="N280" s="111"/>
      <c r="O280" s="111"/>
      <c r="P280" s="111"/>
    </row>
    <row r="281" spans="3:16" x14ac:dyDescent="0.3">
      <c r="C281" s="114"/>
      <c r="D281" s="233" t="s">
        <v>267</v>
      </c>
      <c r="E281" s="239" t="s">
        <v>0</v>
      </c>
      <c r="F281" s="235">
        <v>2</v>
      </c>
      <c r="G281" s="236">
        <v>0.15</v>
      </c>
      <c r="H281" s="236">
        <v>3.65</v>
      </c>
      <c r="I281" s="236">
        <v>0.9</v>
      </c>
      <c r="J281" s="235">
        <v>1</v>
      </c>
      <c r="K281" s="237"/>
      <c r="L281" s="237">
        <f>((H281+I281)*2)*F281*G281*J281</f>
        <v>2.73</v>
      </c>
      <c r="M281" s="111"/>
      <c r="N281" s="111"/>
      <c r="O281" s="111"/>
      <c r="P281" s="111"/>
    </row>
    <row r="282" spans="3:16" x14ac:dyDescent="0.3">
      <c r="C282" s="118"/>
      <c r="D282" s="257" t="s">
        <v>129</v>
      </c>
      <c r="E282" s="254"/>
      <c r="F282" s="255"/>
      <c r="G282" s="256"/>
      <c r="H282" s="256"/>
      <c r="I282" s="256"/>
      <c r="J282" s="229"/>
      <c r="K282" s="231"/>
      <c r="L282" s="231"/>
      <c r="M282" s="113"/>
      <c r="N282" s="113"/>
      <c r="O282" s="113"/>
      <c r="P282" s="113"/>
    </row>
    <row r="283" spans="3:16" x14ac:dyDescent="0.3">
      <c r="C283" s="114"/>
      <c r="D283" s="233" t="s">
        <v>135</v>
      </c>
      <c r="E283" s="239" t="s">
        <v>0</v>
      </c>
      <c r="F283" s="235">
        <v>2</v>
      </c>
      <c r="G283" s="236">
        <v>0.15</v>
      </c>
      <c r="H283" s="236">
        <v>1.2</v>
      </c>
      <c r="I283" s="236">
        <v>3</v>
      </c>
      <c r="J283" s="235">
        <v>1</v>
      </c>
      <c r="K283" s="237"/>
      <c r="L283" s="237">
        <f>((H283+I283)*2)*F283*G283*J283</f>
        <v>2.52</v>
      </c>
      <c r="M283" s="111"/>
      <c r="N283" s="111"/>
      <c r="O283" s="111"/>
      <c r="P283" s="111"/>
    </row>
    <row r="284" spans="3:16" x14ac:dyDescent="0.3">
      <c r="C284" s="118"/>
      <c r="D284" s="253" t="s">
        <v>68</v>
      </c>
      <c r="E284" s="254"/>
      <c r="F284" s="255"/>
      <c r="G284" s="256"/>
      <c r="H284" s="256"/>
      <c r="I284" s="256"/>
      <c r="J284" s="229"/>
      <c r="K284" s="231"/>
      <c r="L284" s="231"/>
      <c r="M284" s="113"/>
      <c r="N284" s="113"/>
      <c r="O284" s="113"/>
      <c r="P284" s="113"/>
    </row>
    <row r="285" spans="3:16" x14ac:dyDescent="0.3">
      <c r="C285" s="118"/>
      <c r="D285" s="257" t="s">
        <v>266</v>
      </c>
      <c r="E285" s="254"/>
      <c r="F285" s="255"/>
      <c r="G285" s="256"/>
      <c r="H285" s="256"/>
      <c r="I285" s="256"/>
      <c r="J285" s="229"/>
      <c r="K285" s="231"/>
      <c r="L285" s="231"/>
      <c r="M285" s="113"/>
      <c r="N285" s="113"/>
      <c r="O285" s="113"/>
      <c r="P285" s="113"/>
    </row>
    <row r="286" spans="3:16" x14ac:dyDescent="0.3">
      <c r="C286" s="114"/>
      <c r="D286" s="233" t="s">
        <v>137</v>
      </c>
      <c r="E286" s="239" t="s">
        <v>0</v>
      </c>
      <c r="F286" s="235">
        <v>2</v>
      </c>
      <c r="G286" s="236">
        <v>0.15</v>
      </c>
      <c r="H286" s="236">
        <v>2.4500000000000002</v>
      </c>
      <c r="I286" s="236">
        <v>0.9</v>
      </c>
      <c r="J286" s="235">
        <v>1</v>
      </c>
      <c r="K286" s="237"/>
      <c r="L286" s="237">
        <f>((H286+I286)*2)*F286*G286*J286</f>
        <v>2.0099999999999998</v>
      </c>
      <c r="M286" s="111"/>
      <c r="N286" s="111"/>
      <c r="O286" s="111"/>
      <c r="P286" s="111"/>
    </row>
    <row r="287" spans="3:16" x14ac:dyDescent="0.3">
      <c r="C287" s="114"/>
      <c r="D287" s="233" t="s">
        <v>267</v>
      </c>
      <c r="E287" s="239" t="s">
        <v>0</v>
      </c>
      <c r="F287" s="235">
        <v>2</v>
      </c>
      <c r="G287" s="236">
        <v>0.15</v>
      </c>
      <c r="H287" s="236">
        <v>3.65</v>
      </c>
      <c r="I287" s="236">
        <v>0.9</v>
      </c>
      <c r="J287" s="235">
        <v>1</v>
      </c>
      <c r="K287" s="237"/>
      <c r="L287" s="237">
        <f>((H287+I287)*2)*F287*G287*J287</f>
        <v>2.73</v>
      </c>
      <c r="M287" s="111"/>
      <c r="N287" s="111"/>
      <c r="O287" s="111"/>
      <c r="P287" s="111"/>
    </row>
    <row r="288" spans="3:16" x14ac:dyDescent="0.3">
      <c r="C288" s="118"/>
      <c r="D288" s="257" t="s">
        <v>129</v>
      </c>
      <c r="E288" s="254"/>
      <c r="F288" s="255"/>
      <c r="G288" s="256"/>
      <c r="H288" s="256"/>
      <c r="I288" s="256"/>
      <c r="J288" s="229"/>
      <c r="K288" s="231"/>
      <c r="L288" s="231"/>
      <c r="M288" s="113"/>
      <c r="N288" s="113"/>
      <c r="O288" s="113"/>
      <c r="P288" s="113"/>
    </row>
    <row r="289" spans="3:16" x14ac:dyDescent="0.3">
      <c r="C289" s="114"/>
      <c r="D289" s="233" t="s">
        <v>135</v>
      </c>
      <c r="E289" s="239" t="s">
        <v>0</v>
      </c>
      <c r="F289" s="235">
        <v>2</v>
      </c>
      <c r="G289" s="236">
        <v>0.15</v>
      </c>
      <c r="H289" s="236">
        <v>1.2</v>
      </c>
      <c r="I289" s="236">
        <v>3</v>
      </c>
      <c r="J289" s="235">
        <v>1</v>
      </c>
      <c r="K289" s="237"/>
      <c r="L289" s="237">
        <f>((H289+I289)*2)*F289*G289*J289</f>
        <v>2.52</v>
      </c>
      <c r="M289" s="111"/>
      <c r="N289" s="111"/>
      <c r="O289" s="111"/>
      <c r="P289" s="111"/>
    </row>
    <row r="290" spans="3:16" x14ac:dyDescent="0.3">
      <c r="C290" s="118"/>
      <c r="D290" s="253" t="s">
        <v>106</v>
      </c>
      <c r="E290" s="254"/>
      <c r="F290" s="255"/>
      <c r="G290" s="256"/>
      <c r="H290" s="256"/>
      <c r="I290" s="256"/>
      <c r="J290" s="229"/>
      <c r="K290" s="231"/>
      <c r="L290" s="231"/>
      <c r="M290" s="113"/>
      <c r="N290" s="113"/>
      <c r="O290" s="113"/>
      <c r="P290" s="113"/>
    </row>
    <row r="291" spans="3:16" x14ac:dyDescent="0.3">
      <c r="C291" s="118"/>
      <c r="D291" s="257" t="s">
        <v>266</v>
      </c>
      <c r="E291" s="254"/>
      <c r="F291" s="255"/>
      <c r="G291" s="256"/>
      <c r="H291" s="256"/>
      <c r="I291" s="256"/>
      <c r="J291" s="229"/>
      <c r="K291" s="231"/>
      <c r="L291" s="231"/>
      <c r="M291" s="113"/>
      <c r="N291" s="113"/>
      <c r="O291" s="113"/>
      <c r="P291" s="113"/>
    </row>
    <row r="292" spans="3:16" x14ac:dyDescent="0.3">
      <c r="C292" s="114"/>
      <c r="D292" s="233" t="s">
        <v>137</v>
      </c>
      <c r="E292" s="239" t="s">
        <v>0</v>
      </c>
      <c r="F292" s="235">
        <v>2</v>
      </c>
      <c r="G292" s="236">
        <v>0.15</v>
      </c>
      <c r="H292" s="236">
        <v>2.4500000000000002</v>
      </c>
      <c r="I292" s="236">
        <v>0.85</v>
      </c>
      <c r="J292" s="235">
        <v>1</v>
      </c>
      <c r="K292" s="237"/>
      <c r="L292" s="237">
        <f>((H292+I292)*2)*F292*G292*J292</f>
        <v>1.98</v>
      </c>
      <c r="M292" s="111"/>
      <c r="N292" s="111"/>
      <c r="O292" s="111"/>
      <c r="P292" s="111"/>
    </row>
    <row r="293" spans="3:16" x14ac:dyDescent="0.3">
      <c r="C293" s="114"/>
      <c r="D293" s="233" t="s">
        <v>267</v>
      </c>
      <c r="E293" s="239" t="s">
        <v>0</v>
      </c>
      <c r="F293" s="235">
        <v>2</v>
      </c>
      <c r="G293" s="236">
        <v>0.15</v>
      </c>
      <c r="H293" s="236">
        <v>3.65</v>
      </c>
      <c r="I293" s="236">
        <v>0.85</v>
      </c>
      <c r="J293" s="235">
        <v>1</v>
      </c>
      <c r="K293" s="237"/>
      <c r="L293" s="237">
        <f>((H293+I293)*2)*F293*G293*J293</f>
        <v>2.6999999999999997</v>
      </c>
      <c r="M293" s="111"/>
      <c r="N293" s="111"/>
      <c r="O293" s="111"/>
      <c r="P293" s="111"/>
    </row>
    <row r="294" spans="3:16" x14ac:dyDescent="0.3">
      <c r="C294" s="118"/>
      <c r="D294" s="257" t="s">
        <v>129</v>
      </c>
      <c r="E294" s="254"/>
      <c r="F294" s="255"/>
      <c r="G294" s="256"/>
      <c r="H294" s="256"/>
      <c r="I294" s="256"/>
      <c r="J294" s="229"/>
      <c r="K294" s="231"/>
      <c r="L294" s="231"/>
      <c r="M294" s="113"/>
      <c r="N294" s="113"/>
      <c r="O294" s="113"/>
      <c r="P294" s="113"/>
    </row>
    <row r="295" spans="3:16" x14ac:dyDescent="0.3">
      <c r="C295" s="114"/>
      <c r="D295" s="233" t="s">
        <v>135</v>
      </c>
      <c r="E295" s="239" t="s">
        <v>0</v>
      </c>
      <c r="F295" s="235">
        <v>2</v>
      </c>
      <c r="G295" s="236">
        <v>0.15</v>
      </c>
      <c r="H295" s="236">
        <v>1.2</v>
      </c>
      <c r="I295" s="236">
        <v>2.95</v>
      </c>
      <c r="J295" s="235">
        <v>1</v>
      </c>
      <c r="K295" s="237"/>
      <c r="L295" s="237">
        <f>((H295+I295)*2)*F295*G295*J295</f>
        <v>2.4900000000000002</v>
      </c>
      <c r="M295" s="111"/>
      <c r="N295" s="111"/>
      <c r="O295" s="111"/>
      <c r="P295" s="111"/>
    </row>
    <row r="296" spans="3:16" ht="14.4" x14ac:dyDescent="0.3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3:16" x14ac:dyDescent="0.3">
      <c r="C297" s="99" t="s">
        <v>1185</v>
      </c>
      <c r="D297" s="226" t="s">
        <v>159</v>
      </c>
      <c r="E297" s="101" t="s">
        <v>0</v>
      </c>
      <c r="F297" s="1"/>
      <c r="G297" s="2"/>
      <c r="H297" s="2"/>
      <c r="I297" s="2"/>
      <c r="J297" s="3"/>
      <c r="K297" s="103"/>
      <c r="L297" s="103"/>
      <c r="M297" s="103"/>
      <c r="N297" s="103"/>
      <c r="O297" s="103"/>
      <c r="P297" s="103">
        <f>SUM(L297:L319)</f>
        <v>533.79500000000007</v>
      </c>
    </row>
    <row r="298" spans="3:16" x14ac:dyDescent="0.3">
      <c r="C298" s="106"/>
      <c r="D298" s="227" t="s">
        <v>127</v>
      </c>
      <c r="E298" s="228"/>
      <c r="F298" s="229"/>
      <c r="G298" s="230"/>
      <c r="H298" s="230"/>
      <c r="I298" s="230"/>
      <c r="J298" s="229"/>
      <c r="K298" s="231"/>
      <c r="L298" s="231"/>
      <c r="M298" s="113"/>
      <c r="N298" s="113"/>
      <c r="O298" s="113"/>
      <c r="P298" s="113"/>
    </row>
    <row r="299" spans="3:16" x14ac:dyDescent="0.3">
      <c r="C299" s="114"/>
      <c r="D299" s="233" t="s">
        <v>516</v>
      </c>
      <c r="E299" s="234" t="s">
        <v>0</v>
      </c>
      <c r="F299" s="235">
        <v>2</v>
      </c>
      <c r="G299" s="236" t="s">
        <v>156</v>
      </c>
      <c r="H299" s="236">
        <v>27.84</v>
      </c>
      <c r="I299" s="236"/>
      <c r="J299" s="235">
        <v>1</v>
      </c>
      <c r="K299" s="237"/>
      <c r="L299" s="237">
        <f t="shared" ref="L299:L304" si="22">IF(F299="","",PRODUCT(F299:J299))</f>
        <v>55.68</v>
      </c>
      <c r="M299" s="111"/>
      <c r="N299" s="111"/>
      <c r="O299" s="111"/>
      <c r="P299" s="111"/>
    </row>
    <row r="300" spans="3:16" x14ac:dyDescent="0.3">
      <c r="C300" s="114"/>
      <c r="D300" s="233"/>
      <c r="E300" s="234" t="s">
        <v>0</v>
      </c>
      <c r="F300" s="235">
        <v>2</v>
      </c>
      <c r="G300" s="236" t="s">
        <v>156</v>
      </c>
      <c r="H300" s="236">
        <v>27.68</v>
      </c>
      <c r="I300" s="236"/>
      <c r="J300" s="235">
        <v>1</v>
      </c>
      <c r="K300" s="237"/>
      <c r="L300" s="237">
        <f t="shared" si="22"/>
        <v>55.36</v>
      </c>
      <c r="M300" s="111"/>
      <c r="N300" s="111"/>
      <c r="O300" s="111"/>
      <c r="P300" s="111"/>
    </row>
    <row r="301" spans="3:16" x14ac:dyDescent="0.3">
      <c r="C301" s="114"/>
      <c r="D301" s="258"/>
      <c r="E301" s="239" t="s">
        <v>0</v>
      </c>
      <c r="F301" s="242">
        <v>12</v>
      </c>
      <c r="G301" s="236" t="s">
        <v>156</v>
      </c>
      <c r="H301" s="236">
        <v>0.62</v>
      </c>
      <c r="I301" s="236"/>
      <c r="J301" s="242">
        <v>1</v>
      </c>
      <c r="K301" s="237"/>
      <c r="L301" s="237">
        <f t="shared" si="22"/>
        <v>7.4399999999999995</v>
      </c>
      <c r="M301" s="111"/>
      <c r="N301" s="111"/>
      <c r="O301" s="111"/>
      <c r="P301" s="111"/>
    </row>
    <row r="302" spans="3:16" x14ac:dyDescent="0.3">
      <c r="C302" s="114"/>
      <c r="D302" s="233" t="s">
        <v>517</v>
      </c>
      <c r="E302" s="234" t="s">
        <v>0</v>
      </c>
      <c r="F302" s="235">
        <v>2</v>
      </c>
      <c r="G302" s="236">
        <v>1.1499999999999999</v>
      </c>
      <c r="H302" s="236">
        <v>0.55000000000000004</v>
      </c>
      <c r="I302" s="236"/>
      <c r="J302" s="235">
        <v>1</v>
      </c>
      <c r="K302" s="237"/>
      <c r="L302" s="237">
        <f t="shared" si="22"/>
        <v>1.2649999999999999</v>
      </c>
      <c r="M302" s="111"/>
      <c r="N302" s="111"/>
      <c r="O302" s="111"/>
      <c r="P302" s="111"/>
    </row>
    <row r="303" spans="3:16" x14ac:dyDescent="0.3">
      <c r="C303" s="114"/>
      <c r="D303" s="233" t="s">
        <v>518</v>
      </c>
      <c r="E303" s="234" t="s">
        <v>0</v>
      </c>
      <c r="F303" s="235">
        <v>2</v>
      </c>
      <c r="G303" s="236" t="s">
        <v>156</v>
      </c>
      <c r="H303" s="236">
        <v>13.35</v>
      </c>
      <c r="I303" s="236"/>
      <c r="J303" s="235">
        <v>1</v>
      </c>
      <c r="K303" s="237"/>
      <c r="L303" s="237">
        <f t="shared" si="22"/>
        <v>26.7</v>
      </c>
      <c r="M303" s="111"/>
      <c r="N303" s="111"/>
      <c r="O303" s="111"/>
      <c r="P303" s="111"/>
    </row>
    <row r="304" spans="3:16" x14ac:dyDescent="0.3">
      <c r="C304" s="114"/>
      <c r="D304" s="233"/>
      <c r="E304" s="234" t="s">
        <v>0</v>
      </c>
      <c r="F304" s="235">
        <v>2</v>
      </c>
      <c r="G304" s="236" t="s">
        <v>156</v>
      </c>
      <c r="H304" s="236">
        <v>13.28</v>
      </c>
      <c r="I304" s="236"/>
      <c r="J304" s="235">
        <v>1</v>
      </c>
      <c r="K304" s="237"/>
      <c r="L304" s="237">
        <f t="shared" si="22"/>
        <v>26.56</v>
      </c>
      <c r="M304" s="111"/>
      <c r="N304" s="111"/>
      <c r="O304" s="111"/>
      <c r="P304" s="111"/>
    </row>
    <row r="305" spans="3:16" x14ac:dyDescent="0.3">
      <c r="C305" s="106"/>
      <c r="D305" s="227" t="s">
        <v>68</v>
      </c>
      <c r="E305" s="228"/>
      <c r="F305" s="229"/>
      <c r="G305" s="230"/>
      <c r="H305" s="230"/>
      <c r="I305" s="230"/>
      <c r="J305" s="229"/>
      <c r="K305" s="231"/>
      <c r="L305" s="231"/>
      <c r="M305" s="113"/>
      <c r="N305" s="113"/>
      <c r="O305" s="113"/>
      <c r="P305" s="113"/>
    </row>
    <row r="306" spans="3:16" x14ac:dyDescent="0.3">
      <c r="C306" s="114"/>
      <c r="D306" s="233" t="s">
        <v>516</v>
      </c>
      <c r="E306" s="234" t="s">
        <v>0</v>
      </c>
      <c r="F306" s="235">
        <v>2</v>
      </c>
      <c r="G306" s="236" t="s">
        <v>156</v>
      </c>
      <c r="H306" s="236">
        <v>27.84</v>
      </c>
      <c r="I306" s="236"/>
      <c r="J306" s="235">
        <v>1</v>
      </c>
      <c r="K306" s="237"/>
      <c r="L306" s="237">
        <f t="shared" ref="L306:L311" si="23">IF(F306="","",PRODUCT(F306:J306))</f>
        <v>55.68</v>
      </c>
      <c r="M306" s="111"/>
      <c r="N306" s="111"/>
      <c r="O306" s="111"/>
      <c r="P306" s="111"/>
    </row>
    <row r="307" spans="3:16" x14ac:dyDescent="0.3">
      <c r="C307" s="114"/>
      <c r="D307" s="233"/>
      <c r="E307" s="234" t="s">
        <v>0</v>
      </c>
      <c r="F307" s="235">
        <v>2</v>
      </c>
      <c r="G307" s="236" t="s">
        <v>156</v>
      </c>
      <c r="H307" s="236">
        <v>27.68</v>
      </c>
      <c r="I307" s="236"/>
      <c r="J307" s="235">
        <v>1</v>
      </c>
      <c r="K307" s="237"/>
      <c r="L307" s="237">
        <f t="shared" si="23"/>
        <v>55.36</v>
      </c>
      <c r="M307" s="111"/>
      <c r="N307" s="111"/>
      <c r="O307" s="111"/>
      <c r="P307" s="111"/>
    </row>
    <row r="308" spans="3:16" x14ac:dyDescent="0.3">
      <c r="C308" s="114"/>
      <c r="D308" s="258"/>
      <c r="E308" s="239" t="s">
        <v>0</v>
      </c>
      <c r="F308" s="242">
        <v>12</v>
      </c>
      <c r="G308" s="236" t="s">
        <v>156</v>
      </c>
      <c r="H308" s="236">
        <v>0.62</v>
      </c>
      <c r="I308" s="236"/>
      <c r="J308" s="242">
        <v>1</v>
      </c>
      <c r="K308" s="237"/>
      <c r="L308" s="237">
        <f t="shared" si="23"/>
        <v>7.4399999999999995</v>
      </c>
      <c r="M308" s="111"/>
      <c r="N308" s="111"/>
      <c r="O308" s="111"/>
      <c r="P308" s="111"/>
    </row>
    <row r="309" spans="3:16" x14ac:dyDescent="0.3">
      <c r="C309" s="114"/>
      <c r="D309" s="233" t="s">
        <v>517</v>
      </c>
      <c r="E309" s="234" t="s">
        <v>0</v>
      </c>
      <c r="F309" s="235">
        <v>2</v>
      </c>
      <c r="G309" s="236">
        <v>1.1499999999999999</v>
      </c>
      <c r="H309" s="236">
        <v>0.55000000000000004</v>
      </c>
      <c r="I309" s="236"/>
      <c r="J309" s="235">
        <v>1</v>
      </c>
      <c r="K309" s="237"/>
      <c r="L309" s="237">
        <f t="shared" si="23"/>
        <v>1.2649999999999999</v>
      </c>
      <c r="M309" s="111"/>
      <c r="N309" s="111"/>
      <c r="O309" s="111"/>
      <c r="P309" s="111"/>
    </row>
    <row r="310" spans="3:16" x14ac:dyDescent="0.3">
      <c r="C310" s="114"/>
      <c r="D310" s="233" t="s">
        <v>518</v>
      </c>
      <c r="E310" s="234" t="s">
        <v>0</v>
      </c>
      <c r="F310" s="235">
        <v>2</v>
      </c>
      <c r="G310" s="236" t="s">
        <v>156</v>
      </c>
      <c r="H310" s="236">
        <v>13.35</v>
      </c>
      <c r="I310" s="236"/>
      <c r="J310" s="235">
        <v>1</v>
      </c>
      <c r="K310" s="237"/>
      <c r="L310" s="237">
        <f t="shared" si="23"/>
        <v>26.7</v>
      </c>
      <c r="M310" s="111"/>
      <c r="N310" s="111"/>
      <c r="O310" s="111"/>
      <c r="P310" s="111"/>
    </row>
    <row r="311" spans="3:16" x14ac:dyDescent="0.3">
      <c r="C311" s="114"/>
      <c r="D311" s="233"/>
      <c r="E311" s="234" t="s">
        <v>0</v>
      </c>
      <c r="F311" s="235">
        <v>2</v>
      </c>
      <c r="G311" s="236" t="s">
        <v>156</v>
      </c>
      <c r="H311" s="236">
        <v>13.28</v>
      </c>
      <c r="I311" s="236"/>
      <c r="J311" s="235">
        <v>1</v>
      </c>
      <c r="K311" s="237"/>
      <c r="L311" s="237">
        <f t="shared" si="23"/>
        <v>26.56</v>
      </c>
      <c r="M311" s="111"/>
      <c r="N311" s="111"/>
      <c r="O311" s="111"/>
      <c r="P311" s="111"/>
    </row>
    <row r="312" spans="3:16" x14ac:dyDescent="0.3">
      <c r="C312" s="106"/>
      <c r="D312" s="227" t="s">
        <v>106</v>
      </c>
      <c r="E312" s="228"/>
      <c r="F312" s="229"/>
      <c r="G312" s="230"/>
      <c r="H312" s="230"/>
      <c r="I312" s="230"/>
      <c r="J312" s="229"/>
      <c r="K312" s="231"/>
      <c r="L312" s="231"/>
      <c r="M312" s="113"/>
      <c r="N312" s="113"/>
      <c r="O312" s="113"/>
      <c r="P312" s="113"/>
    </row>
    <row r="313" spans="3:16" x14ac:dyDescent="0.3">
      <c r="C313" s="114"/>
      <c r="D313" s="233" t="s">
        <v>516</v>
      </c>
      <c r="E313" s="234" t="s">
        <v>0</v>
      </c>
      <c r="F313" s="235">
        <v>8</v>
      </c>
      <c r="G313" s="236">
        <v>2.25</v>
      </c>
      <c r="H313" s="236">
        <v>6.4</v>
      </c>
      <c r="I313" s="236"/>
      <c r="J313" s="235">
        <v>1</v>
      </c>
      <c r="K313" s="237"/>
      <c r="L313" s="237">
        <f t="shared" ref="L313:L318" si="24">IF(F313="","",PRODUCT(F313:J313))</f>
        <v>115.2</v>
      </c>
      <c r="M313" s="111"/>
      <c r="N313" s="111"/>
      <c r="O313" s="111"/>
      <c r="P313" s="111"/>
    </row>
    <row r="314" spans="3:16" x14ac:dyDescent="0.3">
      <c r="C314" s="114"/>
      <c r="D314" s="233" t="s">
        <v>517</v>
      </c>
      <c r="E314" s="234" t="s">
        <v>0</v>
      </c>
      <c r="F314" s="235">
        <v>2</v>
      </c>
      <c r="G314" s="236">
        <v>1.1499999999999999</v>
      </c>
      <c r="H314" s="236">
        <v>0.55000000000000004</v>
      </c>
      <c r="I314" s="236"/>
      <c r="J314" s="235">
        <v>1</v>
      </c>
      <c r="K314" s="237"/>
      <c r="L314" s="237">
        <f t="shared" si="24"/>
        <v>1.2649999999999999</v>
      </c>
      <c r="M314" s="111"/>
      <c r="N314" s="111"/>
      <c r="O314" s="111"/>
      <c r="P314" s="111"/>
    </row>
    <row r="315" spans="3:16" x14ac:dyDescent="0.3">
      <c r="C315" s="114"/>
      <c r="D315" s="233" t="s">
        <v>518</v>
      </c>
      <c r="E315" s="234" t="s">
        <v>0</v>
      </c>
      <c r="F315" s="235">
        <v>8</v>
      </c>
      <c r="G315" s="236">
        <v>2.4</v>
      </c>
      <c r="H315" s="236">
        <v>2.95</v>
      </c>
      <c r="I315" s="236"/>
      <c r="J315" s="235">
        <v>1</v>
      </c>
      <c r="K315" s="237"/>
      <c r="L315" s="237">
        <f t="shared" si="24"/>
        <v>56.64</v>
      </c>
      <c r="M315" s="111"/>
      <c r="N315" s="111"/>
      <c r="O315" s="111"/>
      <c r="P315" s="111"/>
    </row>
    <row r="316" spans="3:16" x14ac:dyDescent="0.3">
      <c r="C316" s="114"/>
      <c r="D316" s="258" t="s">
        <v>284</v>
      </c>
      <c r="E316" s="239" t="s">
        <v>0</v>
      </c>
      <c r="F316" s="242">
        <v>12</v>
      </c>
      <c r="G316" s="236" t="s">
        <v>156</v>
      </c>
      <c r="H316" s="236">
        <v>0.06</v>
      </c>
      <c r="I316" s="236"/>
      <c r="J316" s="235">
        <v>1</v>
      </c>
      <c r="K316" s="237"/>
      <c r="L316" s="237">
        <f t="shared" si="24"/>
        <v>0.72</v>
      </c>
      <c r="M316" s="111"/>
      <c r="N316" s="111"/>
      <c r="O316" s="111"/>
      <c r="P316" s="111"/>
    </row>
    <row r="317" spans="3:16" x14ac:dyDescent="0.3">
      <c r="C317" s="114"/>
      <c r="D317" s="258"/>
      <c r="E317" s="239" t="s">
        <v>0</v>
      </c>
      <c r="F317" s="242">
        <v>2</v>
      </c>
      <c r="G317" s="236" t="s">
        <v>156</v>
      </c>
      <c r="H317" s="236">
        <v>3.5</v>
      </c>
      <c r="I317" s="236"/>
      <c r="J317" s="235">
        <v>1</v>
      </c>
      <c r="K317" s="237"/>
      <c r="L317" s="237">
        <f t="shared" si="24"/>
        <v>7</v>
      </c>
      <c r="M317" s="111"/>
      <c r="N317" s="111"/>
      <c r="O317" s="111"/>
      <c r="P317" s="111"/>
    </row>
    <row r="318" spans="3:16" x14ac:dyDescent="0.3">
      <c r="C318" s="114"/>
      <c r="D318" s="258"/>
      <c r="E318" s="239" t="s">
        <v>0</v>
      </c>
      <c r="F318" s="242">
        <v>2</v>
      </c>
      <c r="G318" s="236" t="s">
        <v>156</v>
      </c>
      <c r="H318" s="236">
        <v>3.48</v>
      </c>
      <c r="I318" s="236"/>
      <c r="J318" s="235">
        <v>1</v>
      </c>
      <c r="K318" s="237"/>
      <c r="L318" s="237">
        <f t="shared" si="24"/>
        <v>6.96</v>
      </c>
      <c r="M318" s="111"/>
      <c r="N318" s="111"/>
      <c r="O318" s="111"/>
      <c r="P318" s="111"/>
    </row>
    <row r="319" spans="3:16" ht="14.4" x14ac:dyDescent="0.3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9F66-42AD-420C-B377-09EA10874B1D}">
  <dimension ref="A1:W193"/>
  <sheetViews>
    <sheetView view="pageBreakPreview" topLeftCell="C181" zoomScale="130" zoomScaleNormal="100" zoomScaleSheetLayoutView="130" workbookViewId="0">
      <selection activeCell="C18" sqref="C18:C20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1129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523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100" t="s">
        <v>522</v>
      </c>
      <c r="E20" s="101" t="s">
        <v>0</v>
      </c>
      <c r="F20" s="1"/>
      <c r="G20" s="2"/>
      <c r="H20" s="2"/>
      <c r="I20" s="2"/>
      <c r="J20" s="3"/>
      <c r="K20" s="122"/>
      <c r="L20" s="122"/>
      <c r="M20" s="103"/>
      <c r="N20" s="103"/>
      <c r="O20" s="103"/>
      <c r="P20" s="103">
        <f>SUM(L20:L65)</f>
        <v>97.642499999999998</v>
      </c>
    </row>
    <row r="21" spans="1:16" s="170" customFormat="1" x14ac:dyDescent="0.3">
      <c r="C21" s="118"/>
      <c r="D21" s="137" t="s">
        <v>160</v>
      </c>
      <c r="E21" s="138"/>
      <c r="F21" s="1"/>
      <c r="G21" s="2"/>
      <c r="H21" s="2"/>
      <c r="I21" s="2"/>
      <c r="J21" s="3"/>
      <c r="K21" s="122"/>
      <c r="L21" s="122"/>
      <c r="M21" s="113"/>
      <c r="N21" s="113"/>
      <c r="O21" s="113"/>
      <c r="P21" s="113"/>
    </row>
    <row r="22" spans="1:16" s="170" customFormat="1" x14ac:dyDescent="0.3">
      <c r="C22" s="106"/>
      <c r="D22" s="259" t="s">
        <v>33</v>
      </c>
      <c r="E22" s="260"/>
      <c r="F22" s="255"/>
      <c r="G22" s="256"/>
      <c r="H22" s="256"/>
      <c r="I22" s="256"/>
      <c r="J22" s="229"/>
      <c r="K22" s="230"/>
      <c r="L22" s="230"/>
      <c r="M22" s="113"/>
      <c r="N22" s="113"/>
      <c r="O22" s="113"/>
      <c r="P22" s="113"/>
    </row>
    <row r="23" spans="1:16" s="170" customFormat="1" x14ac:dyDescent="0.3">
      <c r="C23" s="114"/>
      <c r="D23" s="238" t="s">
        <v>524</v>
      </c>
      <c r="E23" s="239" t="s">
        <v>0</v>
      </c>
      <c r="F23" s="261">
        <v>1</v>
      </c>
      <c r="G23" s="241">
        <v>2.82</v>
      </c>
      <c r="H23" s="241"/>
      <c r="I23" s="241">
        <f>2.85-2.1</f>
        <v>0.75</v>
      </c>
      <c r="J23" s="235">
        <v>1</v>
      </c>
      <c r="K23" s="236"/>
      <c r="L23" s="236">
        <f t="shared" ref="L23:L28" si="0">PRODUCT(F23:J23)</f>
        <v>2.1149999999999998</v>
      </c>
      <c r="M23" s="111"/>
      <c r="N23" s="111"/>
      <c r="O23" s="111"/>
      <c r="P23" s="111"/>
    </row>
    <row r="24" spans="1:16" s="170" customFormat="1" x14ac:dyDescent="0.3">
      <c r="C24" s="114"/>
      <c r="D24" s="238" t="s">
        <v>525</v>
      </c>
      <c r="E24" s="239" t="s">
        <v>0</v>
      </c>
      <c r="F24" s="261">
        <v>1</v>
      </c>
      <c r="G24" s="241">
        <v>1.9</v>
      </c>
      <c r="H24" s="241"/>
      <c r="I24" s="241">
        <f t="shared" ref="I24:I42" si="1">2.85-2.1</f>
        <v>0.75</v>
      </c>
      <c r="J24" s="235">
        <v>1</v>
      </c>
      <c r="K24" s="236"/>
      <c r="L24" s="236">
        <f t="shared" si="0"/>
        <v>1.4249999999999998</v>
      </c>
      <c r="M24" s="111"/>
      <c r="N24" s="111"/>
      <c r="O24" s="111"/>
      <c r="P24" s="111"/>
    </row>
    <row r="25" spans="1:16" s="170" customFormat="1" x14ac:dyDescent="0.3">
      <c r="C25" s="114"/>
      <c r="D25" s="238" t="s">
        <v>526</v>
      </c>
      <c r="E25" s="239" t="s">
        <v>0</v>
      </c>
      <c r="F25" s="261">
        <v>1</v>
      </c>
      <c r="G25" s="241">
        <v>2.82</v>
      </c>
      <c r="H25" s="241"/>
      <c r="I25" s="241">
        <f t="shared" si="1"/>
        <v>0.75</v>
      </c>
      <c r="J25" s="235">
        <v>1</v>
      </c>
      <c r="K25" s="236"/>
      <c r="L25" s="236">
        <f t="shared" si="0"/>
        <v>2.1149999999999998</v>
      </c>
      <c r="M25" s="111"/>
      <c r="N25" s="111"/>
      <c r="O25" s="111"/>
      <c r="P25" s="111"/>
    </row>
    <row r="26" spans="1:16" s="170" customFormat="1" x14ac:dyDescent="0.3">
      <c r="C26" s="114"/>
      <c r="D26" s="238" t="s">
        <v>527</v>
      </c>
      <c r="E26" s="239" t="s">
        <v>0</v>
      </c>
      <c r="F26" s="261">
        <v>1</v>
      </c>
      <c r="G26" s="241">
        <v>1.9</v>
      </c>
      <c r="H26" s="241"/>
      <c r="I26" s="241">
        <f t="shared" si="1"/>
        <v>0.75</v>
      </c>
      <c r="J26" s="235">
        <v>1</v>
      </c>
      <c r="K26" s="236"/>
      <c r="L26" s="236">
        <f t="shared" si="0"/>
        <v>1.4249999999999998</v>
      </c>
      <c r="M26" s="111"/>
      <c r="N26" s="111"/>
      <c r="O26" s="111"/>
      <c r="P26" s="111"/>
    </row>
    <row r="27" spans="1:16" s="170" customFormat="1" x14ac:dyDescent="0.3">
      <c r="C27" s="114"/>
      <c r="D27" s="238" t="s">
        <v>528</v>
      </c>
      <c r="E27" s="239" t="s">
        <v>0</v>
      </c>
      <c r="F27" s="261">
        <v>1</v>
      </c>
      <c r="G27" s="241">
        <v>0.96</v>
      </c>
      <c r="H27" s="241"/>
      <c r="I27" s="241">
        <f t="shared" si="1"/>
        <v>0.75</v>
      </c>
      <c r="J27" s="235">
        <v>2</v>
      </c>
      <c r="K27" s="236"/>
      <c r="L27" s="236">
        <f t="shared" si="0"/>
        <v>1.44</v>
      </c>
      <c r="M27" s="111"/>
      <c r="N27" s="111"/>
      <c r="O27" s="111"/>
      <c r="P27" s="111"/>
    </row>
    <row r="28" spans="1:16" s="170" customFormat="1" x14ac:dyDescent="0.3">
      <c r="C28" s="114"/>
      <c r="D28" s="238"/>
      <c r="E28" s="239" t="s">
        <v>0</v>
      </c>
      <c r="F28" s="261">
        <v>1</v>
      </c>
      <c r="G28" s="241">
        <v>0.25</v>
      </c>
      <c r="H28" s="241"/>
      <c r="I28" s="241">
        <f t="shared" si="1"/>
        <v>0.75</v>
      </c>
      <c r="J28" s="235">
        <v>1</v>
      </c>
      <c r="K28" s="236"/>
      <c r="L28" s="236">
        <f t="shared" si="0"/>
        <v>0.1875</v>
      </c>
      <c r="M28" s="111"/>
      <c r="N28" s="111"/>
      <c r="O28" s="111"/>
      <c r="P28" s="111"/>
    </row>
    <row r="29" spans="1:16" s="170" customFormat="1" x14ac:dyDescent="0.3">
      <c r="C29" s="106"/>
      <c r="D29" s="259" t="s">
        <v>68</v>
      </c>
      <c r="E29" s="262"/>
      <c r="F29" s="229"/>
      <c r="G29" s="230"/>
      <c r="H29" s="230"/>
      <c r="I29" s="230"/>
      <c r="J29" s="229"/>
      <c r="K29" s="230"/>
      <c r="L29" s="230"/>
      <c r="M29" s="113"/>
      <c r="N29" s="113"/>
      <c r="O29" s="113"/>
      <c r="P29" s="113"/>
    </row>
    <row r="30" spans="1:16" s="170" customFormat="1" x14ac:dyDescent="0.3">
      <c r="C30" s="114"/>
      <c r="D30" s="238" t="s">
        <v>524</v>
      </c>
      <c r="E30" s="239" t="s">
        <v>0</v>
      </c>
      <c r="F30" s="261">
        <v>1</v>
      </c>
      <c r="G30" s="241">
        <v>2.82</v>
      </c>
      <c r="H30" s="241"/>
      <c r="I30" s="241">
        <f t="shared" si="1"/>
        <v>0.75</v>
      </c>
      <c r="J30" s="235">
        <v>1</v>
      </c>
      <c r="K30" s="236"/>
      <c r="L30" s="236">
        <f t="shared" ref="L30:L35" si="2">PRODUCT(F30:J30)</f>
        <v>2.1149999999999998</v>
      </c>
      <c r="M30" s="111"/>
      <c r="N30" s="111"/>
      <c r="O30" s="111"/>
      <c r="P30" s="111"/>
    </row>
    <row r="31" spans="1:16" s="170" customFormat="1" x14ac:dyDescent="0.3">
      <c r="C31" s="114"/>
      <c r="D31" s="238" t="s">
        <v>525</v>
      </c>
      <c r="E31" s="239" t="s">
        <v>0</v>
      </c>
      <c r="F31" s="261">
        <v>1</v>
      </c>
      <c r="G31" s="241">
        <v>1.9</v>
      </c>
      <c r="H31" s="241"/>
      <c r="I31" s="241">
        <f t="shared" si="1"/>
        <v>0.75</v>
      </c>
      <c r="J31" s="235">
        <v>1</v>
      </c>
      <c r="K31" s="236"/>
      <c r="L31" s="236">
        <f t="shared" si="2"/>
        <v>1.4249999999999998</v>
      </c>
      <c r="M31" s="111"/>
      <c r="N31" s="111"/>
      <c r="O31" s="111"/>
      <c r="P31" s="111"/>
    </row>
    <row r="32" spans="1:16" s="170" customFormat="1" x14ac:dyDescent="0.3">
      <c r="C32" s="114"/>
      <c r="D32" s="238" t="s">
        <v>526</v>
      </c>
      <c r="E32" s="239" t="s">
        <v>0</v>
      </c>
      <c r="F32" s="261">
        <v>1</v>
      </c>
      <c r="G32" s="241">
        <v>2.82</v>
      </c>
      <c r="H32" s="241"/>
      <c r="I32" s="241">
        <f t="shared" si="1"/>
        <v>0.75</v>
      </c>
      <c r="J32" s="235">
        <v>1</v>
      </c>
      <c r="K32" s="236"/>
      <c r="L32" s="236">
        <f t="shared" si="2"/>
        <v>2.1149999999999998</v>
      </c>
      <c r="M32" s="111"/>
      <c r="N32" s="111"/>
      <c r="O32" s="111"/>
      <c r="P32" s="111"/>
    </row>
    <row r="33" spans="3:16" s="170" customFormat="1" x14ac:dyDescent="0.3">
      <c r="C33" s="114"/>
      <c r="D33" s="238" t="s">
        <v>527</v>
      </c>
      <c r="E33" s="239" t="s">
        <v>0</v>
      </c>
      <c r="F33" s="261">
        <v>1</v>
      </c>
      <c r="G33" s="241">
        <v>1.9</v>
      </c>
      <c r="H33" s="241"/>
      <c r="I33" s="241">
        <f t="shared" si="1"/>
        <v>0.75</v>
      </c>
      <c r="J33" s="235">
        <v>1</v>
      </c>
      <c r="K33" s="236"/>
      <c r="L33" s="236">
        <f t="shared" si="2"/>
        <v>1.4249999999999998</v>
      </c>
      <c r="M33" s="111"/>
      <c r="N33" s="111"/>
      <c r="O33" s="111"/>
      <c r="P33" s="111"/>
    </row>
    <row r="34" spans="3:16" s="170" customFormat="1" x14ac:dyDescent="0.3">
      <c r="C34" s="114"/>
      <c r="D34" s="238" t="s">
        <v>528</v>
      </c>
      <c r="E34" s="239" t="s">
        <v>0</v>
      </c>
      <c r="F34" s="261">
        <v>1</v>
      </c>
      <c r="G34" s="241">
        <v>0.96</v>
      </c>
      <c r="H34" s="241"/>
      <c r="I34" s="241">
        <f t="shared" si="1"/>
        <v>0.75</v>
      </c>
      <c r="J34" s="235">
        <v>2</v>
      </c>
      <c r="K34" s="236"/>
      <c r="L34" s="236">
        <f t="shared" si="2"/>
        <v>1.44</v>
      </c>
      <c r="M34" s="111"/>
      <c r="N34" s="111"/>
      <c r="O34" s="111"/>
      <c r="P34" s="111"/>
    </row>
    <row r="35" spans="3:16" s="170" customFormat="1" x14ac:dyDescent="0.3">
      <c r="C35" s="106"/>
      <c r="D35" s="238"/>
      <c r="E35" s="239" t="s">
        <v>0</v>
      </c>
      <c r="F35" s="261">
        <v>1</v>
      </c>
      <c r="G35" s="241">
        <v>0.25</v>
      </c>
      <c r="H35" s="241"/>
      <c r="I35" s="241">
        <f t="shared" si="1"/>
        <v>0.75</v>
      </c>
      <c r="J35" s="235">
        <v>1</v>
      </c>
      <c r="K35" s="236"/>
      <c r="L35" s="236">
        <f t="shared" si="2"/>
        <v>0.1875</v>
      </c>
      <c r="M35" s="113"/>
      <c r="N35" s="113"/>
      <c r="O35" s="113"/>
      <c r="P35" s="113"/>
    </row>
    <row r="36" spans="3:16" s="170" customFormat="1" x14ac:dyDescent="0.3">
      <c r="C36" s="106"/>
      <c r="D36" s="259" t="s">
        <v>45</v>
      </c>
      <c r="E36" s="260"/>
      <c r="F36" s="255"/>
      <c r="G36" s="256"/>
      <c r="H36" s="256"/>
      <c r="I36" s="256"/>
      <c r="J36" s="229"/>
      <c r="K36" s="230"/>
      <c r="L36" s="230"/>
      <c r="M36" s="113"/>
      <c r="N36" s="113"/>
      <c r="O36" s="113"/>
      <c r="P36" s="113"/>
    </row>
    <row r="37" spans="3:16" s="170" customFormat="1" x14ac:dyDescent="0.3">
      <c r="C37" s="114"/>
      <c r="D37" s="238" t="s">
        <v>524</v>
      </c>
      <c r="E37" s="239" t="s">
        <v>0</v>
      </c>
      <c r="F37" s="261">
        <v>1</v>
      </c>
      <c r="G37" s="241">
        <v>2.82</v>
      </c>
      <c r="H37" s="241"/>
      <c r="I37" s="241">
        <f t="shared" si="1"/>
        <v>0.75</v>
      </c>
      <c r="J37" s="235">
        <v>1</v>
      </c>
      <c r="K37" s="236"/>
      <c r="L37" s="236">
        <f t="shared" ref="L37:L42" si="3">PRODUCT(F37:J37)</f>
        <v>2.1149999999999998</v>
      </c>
      <c r="M37" s="111"/>
      <c r="N37" s="111"/>
      <c r="O37" s="111"/>
      <c r="P37" s="111"/>
    </row>
    <row r="38" spans="3:16" s="170" customFormat="1" x14ac:dyDescent="0.3">
      <c r="C38" s="114"/>
      <c r="D38" s="238" t="s">
        <v>525</v>
      </c>
      <c r="E38" s="239" t="s">
        <v>0</v>
      </c>
      <c r="F38" s="261">
        <v>1</v>
      </c>
      <c r="G38" s="241">
        <v>1.9</v>
      </c>
      <c r="H38" s="241"/>
      <c r="I38" s="241">
        <f t="shared" si="1"/>
        <v>0.75</v>
      </c>
      <c r="J38" s="235">
        <v>1</v>
      </c>
      <c r="K38" s="236"/>
      <c r="L38" s="236">
        <f t="shared" si="3"/>
        <v>1.4249999999999998</v>
      </c>
      <c r="M38" s="111"/>
      <c r="N38" s="111"/>
      <c r="O38" s="111"/>
      <c r="P38" s="111"/>
    </row>
    <row r="39" spans="3:16" s="170" customFormat="1" x14ac:dyDescent="0.3">
      <c r="C39" s="114"/>
      <c r="D39" s="238" t="s">
        <v>526</v>
      </c>
      <c r="E39" s="239" t="s">
        <v>0</v>
      </c>
      <c r="F39" s="261">
        <v>1</v>
      </c>
      <c r="G39" s="241">
        <v>2.82</v>
      </c>
      <c r="H39" s="241"/>
      <c r="I39" s="241">
        <f t="shared" si="1"/>
        <v>0.75</v>
      </c>
      <c r="J39" s="235">
        <v>1</v>
      </c>
      <c r="K39" s="236"/>
      <c r="L39" s="236">
        <f t="shared" si="3"/>
        <v>2.1149999999999998</v>
      </c>
      <c r="M39" s="111"/>
      <c r="N39" s="111"/>
      <c r="O39" s="111"/>
      <c r="P39" s="111"/>
    </row>
    <row r="40" spans="3:16" s="170" customFormat="1" x14ac:dyDescent="0.3">
      <c r="C40" s="114"/>
      <c r="D40" s="238" t="s">
        <v>527</v>
      </c>
      <c r="E40" s="239" t="s">
        <v>0</v>
      </c>
      <c r="F40" s="261">
        <v>1</v>
      </c>
      <c r="G40" s="241">
        <v>1.9</v>
      </c>
      <c r="H40" s="241"/>
      <c r="I40" s="241">
        <f t="shared" si="1"/>
        <v>0.75</v>
      </c>
      <c r="J40" s="235">
        <v>1</v>
      </c>
      <c r="K40" s="236"/>
      <c r="L40" s="236">
        <f t="shared" si="3"/>
        <v>1.4249999999999998</v>
      </c>
      <c r="M40" s="111"/>
      <c r="N40" s="111"/>
      <c r="O40" s="111"/>
      <c r="P40" s="111"/>
    </row>
    <row r="41" spans="3:16" s="170" customFormat="1" x14ac:dyDescent="0.3">
      <c r="C41" s="114"/>
      <c r="D41" s="238" t="s">
        <v>528</v>
      </c>
      <c r="E41" s="239" t="s">
        <v>0</v>
      </c>
      <c r="F41" s="261">
        <v>1</v>
      </c>
      <c r="G41" s="241">
        <v>0.96</v>
      </c>
      <c r="H41" s="241"/>
      <c r="I41" s="241">
        <f t="shared" si="1"/>
        <v>0.75</v>
      </c>
      <c r="J41" s="235">
        <v>2</v>
      </c>
      <c r="K41" s="236"/>
      <c r="L41" s="236">
        <f t="shared" si="3"/>
        <v>1.44</v>
      </c>
      <c r="M41" s="111"/>
      <c r="N41" s="111"/>
      <c r="O41" s="111"/>
      <c r="P41" s="111"/>
    </row>
    <row r="42" spans="3:16" s="170" customFormat="1" x14ac:dyDescent="0.3">
      <c r="C42" s="106"/>
      <c r="D42" s="238"/>
      <c r="E42" s="239" t="s">
        <v>0</v>
      </c>
      <c r="F42" s="261">
        <v>1</v>
      </c>
      <c r="G42" s="241">
        <v>0.25</v>
      </c>
      <c r="H42" s="241"/>
      <c r="I42" s="241">
        <f t="shared" si="1"/>
        <v>0.75</v>
      </c>
      <c r="J42" s="235">
        <v>1</v>
      </c>
      <c r="K42" s="236"/>
      <c r="L42" s="236">
        <f t="shared" si="3"/>
        <v>0.1875</v>
      </c>
      <c r="M42" s="113"/>
      <c r="N42" s="113"/>
      <c r="O42" s="113"/>
      <c r="P42" s="113"/>
    </row>
    <row r="43" spans="3:16" s="170" customFormat="1" x14ac:dyDescent="0.3">
      <c r="C43" s="118"/>
      <c r="D43" s="137" t="s">
        <v>174</v>
      </c>
      <c r="E43" s="138"/>
      <c r="F43" s="1"/>
      <c r="G43" s="2"/>
      <c r="H43" s="2"/>
      <c r="I43" s="2"/>
      <c r="J43" s="3"/>
      <c r="K43" s="122"/>
      <c r="L43" s="122"/>
      <c r="M43" s="113"/>
      <c r="N43" s="113"/>
      <c r="O43" s="113"/>
      <c r="P43" s="113"/>
    </row>
    <row r="44" spans="3:16" s="170" customFormat="1" x14ac:dyDescent="0.3">
      <c r="C44" s="106"/>
      <c r="D44" s="140" t="s">
        <v>33</v>
      </c>
      <c r="E44" s="138"/>
      <c r="F44" s="1"/>
      <c r="G44" s="2"/>
      <c r="H44" s="2"/>
      <c r="I44" s="2"/>
      <c r="J44" s="3"/>
      <c r="K44" s="122"/>
      <c r="L44" s="122"/>
      <c r="M44" s="113"/>
      <c r="N44" s="113"/>
      <c r="O44" s="113"/>
      <c r="P44" s="113"/>
    </row>
    <row r="45" spans="3:16" s="170" customFormat="1" x14ac:dyDescent="0.3">
      <c r="C45" s="114"/>
      <c r="D45" s="238" t="s">
        <v>529</v>
      </c>
      <c r="E45" s="239" t="s">
        <v>0</v>
      </c>
      <c r="F45" s="261">
        <v>1</v>
      </c>
      <c r="G45" s="241">
        <v>1.03</v>
      </c>
      <c r="H45" s="241"/>
      <c r="I45" s="241">
        <v>3.05</v>
      </c>
      <c r="J45" s="235">
        <v>1</v>
      </c>
      <c r="K45" s="236"/>
      <c r="L45" s="236">
        <f t="shared" ref="L45:L50" si="4">PRODUCT(F45:J45)</f>
        <v>3.1414999999999997</v>
      </c>
      <c r="M45" s="111"/>
      <c r="N45" s="111"/>
      <c r="O45" s="111"/>
      <c r="P45" s="111"/>
    </row>
    <row r="46" spans="3:16" s="170" customFormat="1" x14ac:dyDescent="0.3">
      <c r="C46" s="114"/>
      <c r="D46" s="238"/>
      <c r="E46" s="239" t="s">
        <v>0</v>
      </c>
      <c r="F46" s="261">
        <v>1</v>
      </c>
      <c r="G46" s="241">
        <v>0.93</v>
      </c>
      <c r="H46" s="241"/>
      <c r="I46" s="241">
        <f t="shared" ref="I46:I48" si="5">2.85-2.1</f>
        <v>0.75</v>
      </c>
      <c r="J46" s="235">
        <v>1</v>
      </c>
      <c r="K46" s="236"/>
      <c r="L46" s="236">
        <f t="shared" si="4"/>
        <v>0.69750000000000001</v>
      </c>
      <c r="M46" s="111"/>
      <c r="N46" s="111"/>
      <c r="O46" s="111"/>
      <c r="P46" s="111"/>
    </row>
    <row r="47" spans="3:16" s="170" customFormat="1" x14ac:dyDescent="0.3">
      <c r="C47" s="114"/>
      <c r="D47" s="238" t="s">
        <v>530</v>
      </c>
      <c r="E47" s="239" t="s">
        <v>0</v>
      </c>
      <c r="F47" s="261">
        <v>1</v>
      </c>
      <c r="G47" s="241">
        <v>1</v>
      </c>
      <c r="H47" s="241"/>
      <c r="I47" s="241">
        <v>2.85</v>
      </c>
      <c r="J47" s="235">
        <v>1</v>
      </c>
      <c r="K47" s="236"/>
      <c r="L47" s="236">
        <f t="shared" si="4"/>
        <v>2.85</v>
      </c>
      <c r="M47" s="111"/>
      <c r="N47" s="111"/>
      <c r="O47" s="111"/>
      <c r="P47" s="111"/>
    </row>
    <row r="48" spans="3:16" s="170" customFormat="1" x14ac:dyDescent="0.3">
      <c r="C48" s="114"/>
      <c r="D48" s="238"/>
      <c r="E48" s="239" t="s">
        <v>0</v>
      </c>
      <c r="F48" s="261">
        <v>1</v>
      </c>
      <c r="G48" s="241">
        <v>1</v>
      </c>
      <c r="H48" s="241"/>
      <c r="I48" s="241">
        <f t="shared" si="5"/>
        <v>0.75</v>
      </c>
      <c r="J48" s="235">
        <v>1</v>
      </c>
      <c r="K48" s="236"/>
      <c r="L48" s="236">
        <f t="shared" si="4"/>
        <v>0.75</v>
      </c>
      <c r="M48" s="111"/>
      <c r="N48" s="111"/>
      <c r="O48" s="111"/>
      <c r="P48" s="111"/>
    </row>
    <row r="49" spans="3:16" s="170" customFormat="1" x14ac:dyDescent="0.3">
      <c r="C49" s="114"/>
      <c r="D49" s="238" t="s">
        <v>531</v>
      </c>
      <c r="E49" s="239" t="s">
        <v>0</v>
      </c>
      <c r="F49" s="261">
        <v>2</v>
      </c>
      <c r="G49" s="241">
        <v>0.96</v>
      </c>
      <c r="H49" s="241"/>
      <c r="I49" s="241">
        <v>3.05</v>
      </c>
      <c r="J49" s="235">
        <v>1</v>
      </c>
      <c r="K49" s="236"/>
      <c r="L49" s="236">
        <f t="shared" si="4"/>
        <v>5.8559999999999999</v>
      </c>
      <c r="M49" s="111"/>
      <c r="N49" s="111"/>
      <c r="O49" s="111"/>
      <c r="P49" s="111"/>
    </row>
    <row r="50" spans="3:16" s="170" customFormat="1" x14ac:dyDescent="0.3">
      <c r="C50" s="114"/>
      <c r="D50" s="238" t="s">
        <v>532</v>
      </c>
      <c r="E50" s="239" t="s">
        <v>0</v>
      </c>
      <c r="F50" s="261">
        <v>2</v>
      </c>
      <c r="G50" s="241">
        <v>1.85</v>
      </c>
      <c r="H50" s="241"/>
      <c r="I50" s="241">
        <v>2.85</v>
      </c>
      <c r="J50" s="235">
        <v>1</v>
      </c>
      <c r="K50" s="236"/>
      <c r="L50" s="236">
        <f t="shared" si="4"/>
        <v>10.545000000000002</v>
      </c>
      <c r="M50" s="111"/>
      <c r="N50" s="111"/>
      <c r="O50" s="111"/>
      <c r="P50" s="111"/>
    </row>
    <row r="51" spans="3:16" s="170" customFormat="1" x14ac:dyDescent="0.3">
      <c r="C51" s="106"/>
      <c r="D51" s="140" t="s">
        <v>134</v>
      </c>
      <c r="E51" s="138"/>
      <c r="F51" s="1"/>
      <c r="G51" s="2"/>
      <c r="H51" s="2"/>
      <c r="I51" s="2"/>
      <c r="J51" s="3"/>
      <c r="K51" s="122"/>
      <c r="L51" s="122"/>
      <c r="M51" s="113"/>
      <c r="N51" s="113"/>
      <c r="O51" s="113"/>
      <c r="P51" s="113"/>
    </row>
    <row r="52" spans="3:16" s="170" customFormat="1" x14ac:dyDescent="0.3">
      <c r="C52" s="114"/>
      <c r="D52" s="238" t="s">
        <v>529</v>
      </c>
      <c r="E52" s="239" t="s">
        <v>0</v>
      </c>
      <c r="F52" s="261">
        <v>1</v>
      </c>
      <c r="G52" s="241">
        <v>1.03</v>
      </c>
      <c r="H52" s="241"/>
      <c r="I52" s="241">
        <v>3.05</v>
      </c>
      <c r="J52" s="235">
        <v>1</v>
      </c>
      <c r="K52" s="236"/>
      <c r="L52" s="236">
        <f t="shared" ref="L52:L57" si="6">PRODUCT(F52:J52)</f>
        <v>3.1414999999999997</v>
      </c>
      <c r="M52" s="111"/>
      <c r="N52" s="111"/>
      <c r="O52" s="111"/>
      <c r="P52" s="111"/>
    </row>
    <row r="53" spans="3:16" s="170" customFormat="1" x14ac:dyDescent="0.3">
      <c r="C53" s="114"/>
      <c r="D53" s="238"/>
      <c r="E53" s="239" t="s">
        <v>0</v>
      </c>
      <c r="F53" s="261">
        <v>1</v>
      </c>
      <c r="G53" s="241">
        <v>0.93</v>
      </c>
      <c r="H53" s="241"/>
      <c r="I53" s="241">
        <f t="shared" ref="I53:I55" si="7">2.85-2.1</f>
        <v>0.75</v>
      </c>
      <c r="J53" s="235">
        <v>1</v>
      </c>
      <c r="K53" s="236"/>
      <c r="L53" s="236">
        <f t="shared" si="6"/>
        <v>0.69750000000000001</v>
      </c>
      <c r="M53" s="111"/>
      <c r="N53" s="111"/>
      <c r="O53" s="111"/>
      <c r="P53" s="111"/>
    </row>
    <row r="54" spans="3:16" s="170" customFormat="1" x14ac:dyDescent="0.3">
      <c r="C54" s="114"/>
      <c r="D54" s="238" t="s">
        <v>530</v>
      </c>
      <c r="E54" s="239" t="s">
        <v>0</v>
      </c>
      <c r="F54" s="261">
        <v>1</v>
      </c>
      <c r="G54" s="241">
        <v>1</v>
      </c>
      <c r="H54" s="241"/>
      <c r="I54" s="241">
        <v>2.85</v>
      </c>
      <c r="J54" s="235">
        <v>1</v>
      </c>
      <c r="K54" s="236"/>
      <c r="L54" s="236">
        <f t="shared" si="6"/>
        <v>2.85</v>
      </c>
      <c r="M54" s="111"/>
      <c r="N54" s="111"/>
      <c r="O54" s="111"/>
      <c r="P54" s="111"/>
    </row>
    <row r="55" spans="3:16" s="170" customFormat="1" x14ac:dyDescent="0.3">
      <c r="C55" s="114"/>
      <c r="D55" s="238"/>
      <c r="E55" s="239" t="s">
        <v>0</v>
      </c>
      <c r="F55" s="261">
        <v>1</v>
      </c>
      <c r="G55" s="241">
        <v>1</v>
      </c>
      <c r="H55" s="241"/>
      <c r="I55" s="241">
        <f t="shared" si="7"/>
        <v>0.75</v>
      </c>
      <c r="J55" s="235">
        <v>1</v>
      </c>
      <c r="K55" s="236"/>
      <c r="L55" s="236">
        <f t="shared" si="6"/>
        <v>0.75</v>
      </c>
      <c r="M55" s="111"/>
      <c r="N55" s="111"/>
      <c r="O55" s="111"/>
      <c r="P55" s="111"/>
    </row>
    <row r="56" spans="3:16" s="170" customFormat="1" x14ac:dyDescent="0.3">
      <c r="C56" s="114"/>
      <c r="D56" s="238" t="s">
        <v>531</v>
      </c>
      <c r="E56" s="239" t="s">
        <v>0</v>
      </c>
      <c r="F56" s="261">
        <v>2</v>
      </c>
      <c r="G56" s="241">
        <v>0.96</v>
      </c>
      <c r="H56" s="241"/>
      <c r="I56" s="241">
        <v>3.05</v>
      </c>
      <c r="J56" s="235">
        <v>1</v>
      </c>
      <c r="K56" s="236"/>
      <c r="L56" s="236">
        <f t="shared" si="6"/>
        <v>5.8559999999999999</v>
      </c>
      <c r="M56" s="111"/>
      <c r="N56" s="111"/>
      <c r="O56" s="111"/>
      <c r="P56" s="111"/>
    </row>
    <row r="57" spans="3:16" s="170" customFormat="1" x14ac:dyDescent="0.3">
      <c r="C57" s="114"/>
      <c r="D57" s="238" t="s">
        <v>532</v>
      </c>
      <c r="E57" s="239" t="s">
        <v>0</v>
      </c>
      <c r="F57" s="261">
        <v>2</v>
      </c>
      <c r="G57" s="241">
        <v>1.85</v>
      </c>
      <c r="H57" s="241"/>
      <c r="I57" s="241">
        <v>2.85</v>
      </c>
      <c r="J57" s="235">
        <v>1</v>
      </c>
      <c r="K57" s="236"/>
      <c r="L57" s="236">
        <f t="shared" si="6"/>
        <v>10.545000000000002</v>
      </c>
      <c r="M57" s="111"/>
      <c r="N57" s="111"/>
      <c r="O57" s="111"/>
      <c r="P57" s="111"/>
    </row>
    <row r="58" spans="3:16" s="170" customFormat="1" x14ac:dyDescent="0.3">
      <c r="C58" s="106"/>
      <c r="D58" s="140" t="s">
        <v>45</v>
      </c>
      <c r="E58" s="138"/>
      <c r="F58" s="1"/>
      <c r="G58" s="2"/>
      <c r="H58" s="2"/>
      <c r="I58" s="2"/>
      <c r="J58" s="3"/>
      <c r="K58" s="122"/>
      <c r="L58" s="122"/>
      <c r="M58" s="113"/>
      <c r="N58" s="113"/>
      <c r="O58" s="113"/>
      <c r="P58" s="113"/>
    </row>
    <row r="59" spans="3:16" s="170" customFormat="1" x14ac:dyDescent="0.3">
      <c r="C59" s="114"/>
      <c r="D59" s="238" t="s">
        <v>529</v>
      </c>
      <c r="E59" s="239" t="s">
        <v>0</v>
      </c>
      <c r="F59" s="261">
        <v>1</v>
      </c>
      <c r="G59" s="241">
        <v>1.03</v>
      </c>
      <c r="H59" s="241"/>
      <c r="I59" s="241">
        <v>3.05</v>
      </c>
      <c r="J59" s="235">
        <v>1</v>
      </c>
      <c r="K59" s="236"/>
      <c r="L59" s="236">
        <f t="shared" ref="L59:L64" si="8">PRODUCT(F59:J59)</f>
        <v>3.1414999999999997</v>
      </c>
      <c r="M59" s="111"/>
      <c r="N59" s="111"/>
      <c r="O59" s="111"/>
      <c r="P59" s="111"/>
    </row>
    <row r="60" spans="3:16" s="170" customFormat="1" x14ac:dyDescent="0.3">
      <c r="C60" s="114"/>
      <c r="D60" s="238"/>
      <c r="E60" s="239" t="s">
        <v>0</v>
      </c>
      <c r="F60" s="261">
        <v>1</v>
      </c>
      <c r="G60" s="241">
        <v>0.93</v>
      </c>
      <c r="H60" s="241"/>
      <c r="I60" s="241">
        <f t="shared" ref="I60:I62" si="9">2.85-2.1</f>
        <v>0.75</v>
      </c>
      <c r="J60" s="235">
        <v>1</v>
      </c>
      <c r="K60" s="236"/>
      <c r="L60" s="236">
        <f t="shared" si="8"/>
        <v>0.69750000000000001</v>
      </c>
      <c r="M60" s="111"/>
      <c r="N60" s="111"/>
      <c r="O60" s="111"/>
      <c r="P60" s="111"/>
    </row>
    <row r="61" spans="3:16" s="170" customFormat="1" x14ac:dyDescent="0.3">
      <c r="C61" s="114"/>
      <c r="D61" s="238" t="s">
        <v>530</v>
      </c>
      <c r="E61" s="239" t="s">
        <v>0</v>
      </c>
      <c r="F61" s="261">
        <v>1</v>
      </c>
      <c r="G61" s="241">
        <v>1</v>
      </c>
      <c r="H61" s="241"/>
      <c r="I61" s="241">
        <v>2.85</v>
      </c>
      <c r="J61" s="235">
        <v>1</v>
      </c>
      <c r="K61" s="236"/>
      <c r="L61" s="236">
        <f t="shared" si="8"/>
        <v>2.85</v>
      </c>
      <c r="M61" s="111"/>
      <c r="N61" s="111"/>
      <c r="O61" s="111"/>
      <c r="P61" s="111"/>
    </row>
    <row r="62" spans="3:16" s="170" customFormat="1" x14ac:dyDescent="0.3">
      <c r="C62" s="114"/>
      <c r="D62" s="238"/>
      <c r="E62" s="239" t="s">
        <v>0</v>
      </c>
      <c r="F62" s="261">
        <v>1</v>
      </c>
      <c r="G62" s="241">
        <v>1</v>
      </c>
      <c r="H62" s="241"/>
      <c r="I62" s="241">
        <f t="shared" si="9"/>
        <v>0.75</v>
      </c>
      <c r="J62" s="235">
        <v>1</v>
      </c>
      <c r="K62" s="236"/>
      <c r="L62" s="236">
        <f t="shared" si="8"/>
        <v>0.75</v>
      </c>
      <c r="M62" s="111"/>
      <c r="N62" s="111"/>
      <c r="O62" s="111"/>
      <c r="P62" s="111"/>
    </row>
    <row r="63" spans="3:16" s="170" customFormat="1" x14ac:dyDescent="0.3">
      <c r="C63" s="114"/>
      <c r="D63" s="238" t="s">
        <v>531</v>
      </c>
      <c r="E63" s="239" t="s">
        <v>0</v>
      </c>
      <c r="F63" s="261">
        <v>2</v>
      </c>
      <c r="G63" s="241">
        <v>0.96</v>
      </c>
      <c r="H63" s="241"/>
      <c r="I63" s="241">
        <v>3.05</v>
      </c>
      <c r="J63" s="235">
        <v>1</v>
      </c>
      <c r="K63" s="236"/>
      <c r="L63" s="236">
        <f t="shared" si="8"/>
        <v>5.8559999999999999</v>
      </c>
      <c r="M63" s="111"/>
      <c r="N63" s="111"/>
      <c r="O63" s="111"/>
      <c r="P63" s="111"/>
    </row>
    <row r="64" spans="3:16" s="170" customFormat="1" x14ac:dyDescent="0.3">
      <c r="C64" s="114"/>
      <c r="D64" s="238" t="s">
        <v>532</v>
      </c>
      <c r="E64" s="239" t="s">
        <v>0</v>
      </c>
      <c r="F64" s="261">
        <v>2</v>
      </c>
      <c r="G64" s="241">
        <v>1.85</v>
      </c>
      <c r="H64" s="241"/>
      <c r="I64" s="241">
        <v>2.85</v>
      </c>
      <c r="J64" s="235">
        <v>1</v>
      </c>
      <c r="K64" s="236"/>
      <c r="L64" s="236">
        <f t="shared" si="8"/>
        <v>10.545000000000002</v>
      </c>
      <c r="M64" s="111"/>
      <c r="N64" s="111"/>
      <c r="O64" s="111"/>
      <c r="P64" s="111"/>
    </row>
    <row r="65" spans="1:16" s="170" customFormat="1" x14ac:dyDescent="0.3">
      <c r="C65" s="114"/>
      <c r="D65" s="263"/>
      <c r="E65" s="116"/>
      <c r="F65" s="264"/>
      <c r="G65" s="149"/>
      <c r="H65" s="149"/>
      <c r="I65" s="149"/>
      <c r="J65" s="109"/>
      <c r="K65" s="110"/>
      <c r="L65" s="110"/>
      <c r="M65" s="111"/>
      <c r="N65" s="111"/>
      <c r="O65" s="111"/>
      <c r="P65" s="111"/>
    </row>
    <row r="66" spans="1:16" s="170" customFormat="1" x14ac:dyDescent="0.3">
      <c r="C66" s="99" t="s">
        <v>1182</v>
      </c>
      <c r="D66" s="100" t="s">
        <v>520</v>
      </c>
      <c r="E66" s="101" t="s">
        <v>0</v>
      </c>
      <c r="F66" s="1"/>
      <c r="G66" s="2"/>
      <c r="H66" s="2"/>
      <c r="I66" s="2"/>
      <c r="J66" s="3"/>
      <c r="K66" s="122"/>
      <c r="L66" s="122"/>
      <c r="M66" s="103"/>
      <c r="N66" s="103"/>
      <c r="O66" s="103"/>
      <c r="P66" s="103">
        <f>SUM(L66:L106)</f>
        <v>133.14449999999999</v>
      </c>
    </row>
    <row r="67" spans="1:16" s="170" customFormat="1" x14ac:dyDescent="0.3">
      <c r="C67" s="106"/>
      <c r="D67" s="120" t="s">
        <v>127</v>
      </c>
      <c r="E67" s="144"/>
      <c r="F67" s="3"/>
      <c r="G67" s="122" t="s">
        <v>198</v>
      </c>
      <c r="H67" s="122"/>
      <c r="I67" s="122"/>
      <c r="J67" s="3"/>
      <c r="K67" s="122"/>
      <c r="L67" s="122"/>
      <c r="M67" s="113"/>
      <c r="N67" s="113"/>
      <c r="O67" s="113"/>
      <c r="P67" s="113"/>
    </row>
    <row r="68" spans="1:16" s="170" customFormat="1" x14ac:dyDescent="0.3">
      <c r="C68" s="114"/>
      <c r="D68" s="258" t="s">
        <v>533</v>
      </c>
      <c r="E68" s="239" t="s">
        <v>0</v>
      </c>
      <c r="F68" s="235">
        <v>1</v>
      </c>
      <c r="G68" s="236">
        <v>1.05</v>
      </c>
      <c r="H68" s="236">
        <v>3.05</v>
      </c>
      <c r="I68" s="236"/>
      <c r="J68" s="235">
        <v>1</v>
      </c>
      <c r="K68" s="236"/>
      <c r="L68" s="236">
        <f t="shared" ref="L68:L79" si="10">IF(F68="","",PRODUCT(F68:J68))</f>
        <v>3.2025000000000001</v>
      </c>
      <c r="M68" s="111"/>
      <c r="N68" s="111"/>
      <c r="O68" s="111"/>
      <c r="P68" s="111"/>
    </row>
    <row r="69" spans="1:16" s="170" customFormat="1" x14ac:dyDescent="0.3">
      <c r="C69" s="114"/>
      <c r="D69" s="258" t="s">
        <v>534</v>
      </c>
      <c r="E69" s="239" t="s">
        <v>0</v>
      </c>
      <c r="F69" s="235">
        <v>1</v>
      </c>
      <c r="G69" s="236">
        <v>1.8</v>
      </c>
      <c r="H69" s="236">
        <v>3.05</v>
      </c>
      <c r="I69" s="236"/>
      <c r="J69" s="235">
        <v>1</v>
      </c>
      <c r="K69" s="236"/>
      <c r="L69" s="236">
        <f t="shared" si="10"/>
        <v>5.49</v>
      </c>
      <c r="M69" s="111"/>
      <c r="N69" s="111"/>
      <c r="O69" s="111"/>
      <c r="P69" s="111"/>
    </row>
    <row r="70" spans="1:16" s="170" customFormat="1" x14ac:dyDescent="0.3">
      <c r="A70" s="170">
        <v>3</v>
      </c>
      <c r="C70" s="114"/>
      <c r="D70" s="258" t="s">
        <v>535</v>
      </c>
      <c r="E70" s="239" t="s">
        <v>0</v>
      </c>
      <c r="F70" s="235">
        <v>1</v>
      </c>
      <c r="G70" s="236">
        <v>0.6</v>
      </c>
      <c r="H70" s="236">
        <v>3.05</v>
      </c>
      <c r="I70" s="236"/>
      <c r="J70" s="235">
        <v>1</v>
      </c>
      <c r="K70" s="236"/>
      <c r="L70" s="236">
        <f t="shared" si="10"/>
        <v>1.8299999999999998</v>
      </c>
      <c r="M70" s="111"/>
      <c r="N70" s="111"/>
      <c r="O70" s="111"/>
      <c r="P70" s="111"/>
    </row>
    <row r="71" spans="1:16" s="170" customFormat="1" x14ac:dyDescent="0.3">
      <c r="C71" s="114"/>
      <c r="D71" s="258" t="s">
        <v>536</v>
      </c>
      <c r="E71" s="239" t="s">
        <v>0</v>
      </c>
      <c r="F71" s="235">
        <v>1</v>
      </c>
      <c r="G71" s="236">
        <v>1.03</v>
      </c>
      <c r="H71" s="236">
        <v>3.05</v>
      </c>
      <c r="I71" s="236"/>
      <c r="J71" s="235">
        <v>1</v>
      </c>
      <c r="K71" s="236"/>
      <c r="L71" s="236">
        <f t="shared" si="10"/>
        <v>3.1414999999999997</v>
      </c>
      <c r="M71" s="111"/>
      <c r="N71" s="111"/>
      <c r="O71" s="111"/>
      <c r="P71" s="111"/>
    </row>
    <row r="72" spans="1:16" s="170" customFormat="1" x14ac:dyDescent="0.3">
      <c r="C72" s="114"/>
      <c r="D72" s="258" t="s">
        <v>537</v>
      </c>
      <c r="E72" s="239" t="s">
        <v>0</v>
      </c>
      <c r="F72" s="235">
        <v>1</v>
      </c>
      <c r="G72" s="236">
        <f>0.25+1.18</f>
        <v>1.43</v>
      </c>
      <c r="H72" s="236">
        <v>2.95</v>
      </c>
      <c r="I72" s="236"/>
      <c r="J72" s="235">
        <v>1</v>
      </c>
      <c r="K72" s="236"/>
      <c r="L72" s="236">
        <f t="shared" si="10"/>
        <v>4.2184999999999997</v>
      </c>
      <c r="M72" s="111"/>
      <c r="N72" s="111"/>
      <c r="O72" s="111"/>
      <c r="P72" s="111"/>
    </row>
    <row r="73" spans="1:16" s="170" customFormat="1" x14ac:dyDescent="0.3">
      <c r="C73" s="114"/>
      <c r="D73" s="258" t="s">
        <v>538</v>
      </c>
      <c r="E73" s="239" t="s">
        <v>0</v>
      </c>
      <c r="F73" s="235">
        <v>1</v>
      </c>
      <c r="G73" s="236">
        <v>0.7</v>
      </c>
      <c r="H73" s="236">
        <v>3.25</v>
      </c>
      <c r="I73" s="236"/>
      <c r="J73" s="235">
        <v>1</v>
      </c>
      <c r="K73" s="236"/>
      <c r="L73" s="236">
        <f t="shared" si="10"/>
        <v>2.2749999999999999</v>
      </c>
      <c r="M73" s="111"/>
      <c r="N73" s="111"/>
      <c r="O73" s="111"/>
      <c r="P73" s="111"/>
    </row>
    <row r="74" spans="1:16" s="170" customFormat="1" x14ac:dyDescent="0.3">
      <c r="C74" s="114"/>
      <c r="D74" s="258" t="s">
        <v>539</v>
      </c>
      <c r="E74" s="239" t="s">
        <v>0</v>
      </c>
      <c r="F74" s="235">
        <v>1</v>
      </c>
      <c r="G74" s="236">
        <v>1.05</v>
      </c>
      <c r="H74" s="236">
        <v>3.05</v>
      </c>
      <c r="I74" s="236"/>
      <c r="J74" s="235">
        <v>1</v>
      </c>
      <c r="K74" s="236"/>
      <c r="L74" s="236">
        <f t="shared" si="10"/>
        <v>3.2025000000000001</v>
      </c>
      <c r="M74" s="111"/>
      <c r="N74" s="111"/>
      <c r="O74" s="111"/>
      <c r="P74" s="111"/>
    </row>
    <row r="75" spans="1:16" s="170" customFormat="1" x14ac:dyDescent="0.3">
      <c r="C75" s="114"/>
      <c r="D75" s="258" t="s">
        <v>540</v>
      </c>
      <c r="E75" s="239" t="s">
        <v>0</v>
      </c>
      <c r="F75" s="235">
        <v>1</v>
      </c>
      <c r="G75" s="236">
        <f>1.05+0.6</f>
        <v>1.65</v>
      </c>
      <c r="H75" s="236">
        <v>3.05</v>
      </c>
      <c r="I75" s="236"/>
      <c r="J75" s="235">
        <v>1</v>
      </c>
      <c r="K75" s="236"/>
      <c r="L75" s="236">
        <f t="shared" si="10"/>
        <v>5.0324999999999998</v>
      </c>
      <c r="M75" s="111"/>
      <c r="N75" s="111"/>
      <c r="O75" s="111"/>
      <c r="P75" s="111"/>
    </row>
    <row r="76" spans="1:16" s="170" customFormat="1" x14ac:dyDescent="0.3">
      <c r="C76" s="114"/>
      <c r="D76" s="258" t="s">
        <v>541</v>
      </c>
      <c r="E76" s="239" t="s">
        <v>0</v>
      </c>
      <c r="F76" s="235">
        <v>1</v>
      </c>
      <c r="G76" s="236">
        <v>0.88</v>
      </c>
      <c r="H76" s="236">
        <v>3.05</v>
      </c>
      <c r="I76" s="236"/>
      <c r="J76" s="235">
        <v>1</v>
      </c>
      <c r="K76" s="236"/>
      <c r="L76" s="236">
        <f t="shared" si="10"/>
        <v>2.6839999999999997</v>
      </c>
      <c r="M76" s="111"/>
      <c r="N76" s="111"/>
      <c r="O76" s="111"/>
      <c r="P76" s="111"/>
    </row>
    <row r="77" spans="1:16" s="170" customFormat="1" x14ac:dyDescent="0.3">
      <c r="C77" s="114"/>
      <c r="D77" s="258" t="s">
        <v>542</v>
      </c>
      <c r="E77" s="239" t="s">
        <v>0</v>
      </c>
      <c r="F77" s="235">
        <v>1</v>
      </c>
      <c r="G77" s="236">
        <v>0.25</v>
      </c>
      <c r="H77" s="236">
        <v>3.25</v>
      </c>
      <c r="I77" s="236"/>
      <c r="J77" s="235">
        <v>1</v>
      </c>
      <c r="K77" s="236"/>
      <c r="L77" s="236">
        <f t="shared" si="10"/>
        <v>0.8125</v>
      </c>
      <c r="M77" s="111"/>
      <c r="N77" s="111"/>
      <c r="O77" s="111"/>
      <c r="P77" s="111"/>
    </row>
    <row r="78" spans="1:16" s="170" customFormat="1" x14ac:dyDescent="0.3">
      <c r="C78" s="114"/>
      <c r="D78" s="258" t="s">
        <v>543</v>
      </c>
      <c r="E78" s="239" t="s">
        <v>0</v>
      </c>
      <c r="F78" s="235">
        <v>1</v>
      </c>
      <c r="G78" s="236">
        <v>0.7</v>
      </c>
      <c r="H78" s="236">
        <v>3.25</v>
      </c>
      <c r="I78" s="236"/>
      <c r="J78" s="235">
        <v>1</v>
      </c>
      <c r="K78" s="236"/>
      <c r="L78" s="236">
        <f t="shared" si="10"/>
        <v>2.2749999999999999</v>
      </c>
      <c r="M78" s="111"/>
      <c r="N78" s="111"/>
      <c r="O78" s="111"/>
      <c r="P78" s="111"/>
    </row>
    <row r="79" spans="1:16" s="170" customFormat="1" x14ac:dyDescent="0.3">
      <c r="C79" s="114"/>
      <c r="D79" s="258" t="s">
        <v>544</v>
      </c>
      <c r="E79" s="239" t="s">
        <v>0</v>
      </c>
      <c r="F79" s="235">
        <v>1</v>
      </c>
      <c r="G79" s="236">
        <f>1.8+1.55</f>
        <v>3.35</v>
      </c>
      <c r="H79" s="236">
        <v>3.05</v>
      </c>
      <c r="I79" s="236"/>
      <c r="J79" s="235">
        <v>1</v>
      </c>
      <c r="K79" s="236"/>
      <c r="L79" s="236">
        <f t="shared" si="10"/>
        <v>10.217499999999999</v>
      </c>
      <c r="M79" s="111"/>
      <c r="N79" s="111"/>
      <c r="O79" s="111"/>
      <c r="P79" s="111"/>
    </row>
    <row r="80" spans="1:16" s="170" customFormat="1" x14ac:dyDescent="0.3">
      <c r="C80" s="106"/>
      <c r="D80" s="120" t="s">
        <v>68</v>
      </c>
      <c r="E80" s="144"/>
      <c r="F80" s="3"/>
      <c r="G80" s="122" t="s">
        <v>198</v>
      </c>
      <c r="H80" s="122"/>
      <c r="I80" s="122"/>
      <c r="J80" s="3"/>
      <c r="K80" s="122"/>
      <c r="L80" s="122"/>
      <c r="M80" s="113"/>
      <c r="N80" s="113"/>
      <c r="O80" s="113"/>
      <c r="P80" s="113"/>
    </row>
    <row r="81" spans="3:16" s="170" customFormat="1" x14ac:dyDescent="0.3">
      <c r="C81" s="114"/>
      <c r="D81" s="258" t="s">
        <v>533</v>
      </c>
      <c r="E81" s="239" t="s">
        <v>0</v>
      </c>
      <c r="F81" s="235">
        <v>1</v>
      </c>
      <c r="G81" s="236">
        <v>1.05</v>
      </c>
      <c r="H81" s="236">
        <v>3.05</v>
      </c>
      <c r="I81" s="236"/>
      <c r="J81" s="235">
        <v>1</v>
      </c>
      <c r="K81" s="236"/>
      <c r="L81" s="236">
        <f t="shared" ref="L81:L92" si="11">IF(F81="","",PRODUCT(F81:J81))</f>
        <v>3.2025000000000001</v>
      </c>
      <c r="M81" s="111"/>
      <c r="N81" s="111"/>
      <c r="O81" s="111"/>
      <c r="P81" s="111"/>
    </row>
    <row r="82" spans="3:16" s="170" customFormat="1" x14ac:dyDescent="0.3">
      <c r="C82" s="114"/>
      <c r="D82" s="258" t="s">
        <v>534</v>
      </c>
      <c r="E82" s="239" t="s">
        <v>0</v>
      </c>
      <c r="F82" s="235">
        <v>1</v>
      </c>
      <c r="G82" s="236">
        <v>1.8</v>
      </c>
      <c r="H82" s="236">
        <v>3.05</v>
      </c>
      <c r="I82" s="236"/>
      <c r="J82" s="235">
        <v>1</v>
      </c>
      <c r="K82" s="236"/>
      <c r="L82" s="236">
        <f t="shared" si="11"/>
        <v>5.49</v>
      </c>
      <c r="M82" s="111"/>
      <c r="N82" s="111"/>
      <c r="O82" s="111"/>
      <c r="P82" s="111"/>
    </row>
    <row r="83" spans="3:16" s="170" customFormat="1" x14ac:dyDescent="0.3">
      <c r="C83" s="114"/>
      <c r="D83" s="258" t="s">
        <v>535</v>
      </c>
      <c r="E83" s="239" t="s">
        <v>0</v>
      </c>
      <c r="F83" s="235">
        <v>1</v>
      </c>
      <c r="G83" s="236">
        <v>0.6</v>
      </c>
      <c r="H83" s="236">
        <v>3.05</v>
      </c>
      <c r="I83" s="236"/>
      <c r="J83" s="235">
        <v>1</v>
      </c>
      <c r="K83" s="236"/>
      <c r="L83" s="236">
        <f t="shared" si="11"/>
        <v>1.8299999999999998</v>
      </c>
      <c r="M83" s="111"/>
      <c r="N83" s="111"/>
      <c r="O83" s="111"/>
      <c r="P83" s="111"/>
    </row>
    <row r="84" spans="3:16" s="170" customFormat="1" x14ac:dyDescent="0.3">
      <c r="C84" s="114"/>
      <c r="D84" s="258" t="s">
        <v>536</v>
      </c>
      <c r="E84" s="239" t="s">
        <v>0</v>
      </c>
      <c r="F84" s="235">
        <v>1</v>
      </c>
      <c r="G84" s="236">
        <v>1.03</v>
      </c>
      <c r="H84" s="236">
        <v>3.05</v>
      </c>
      <c r="I84" s="236"/>
      <c r="J84" s="235">
        <v>1</v>
      </c>
      <c r="K84" s="236"/>
      <c r="L84" s="236">
        <f t="shared" si="11"/>
        <v>3.1414999999999997</v>
      </c>
      <c r="M84" s="111"/>
      <c r="N84" s="111"/>
      <c r="O84" s="111"/>
      <c r="P84" s="111"/>
    </row>
    <row r="85" spans="3:16" s="170" customFormat="1" x14ac:dyDescent="0.3">
      <c r="C85" s="114"/>
      <c r="D85" s="258" t="s">
        <v>537</v>
      </c>
      <c r="E85" s="239" t="s">
        <v>0</v>
      </c>
      <c r="F85" s="235">
        <v>1</v>
      </c>
      <c r="G85" s="236">
        <f>0.25+1.18</f>
        <v>1.43</v>
      </c>
      <c r="H85" s="236">
        <v>2.95</v>
      </c>
      <c r="I85" s="236"/>
      <c r="J85" s="235">
        <v>1</v>
      </c>
      <c r="K85" s="236"/>
      <c r="L85" s="236">
        <f t="shared" si="11"/>
        <v>4.2184999999999997</v>
      </c>
      <c r="M85" s="111"/>
      <c r="N85" s="111"/>
      <c r="O85" s="111"/>
      <c r="P85" s="111"/>
    </row>
    <row r="86" spans="3:16" s="170" customFormat="1" x14ac:dyDescent="0.3">
      <c r="C86" s="114"/>
      <c r="D86" s="258" t="s">
        <v>538</v>
      </c>
      <c r="E86" s="239" t="s">
        <v>0</v>
      </c>
      <c r="F86" s="235">
        <v>1</v>
      </c>
      <c r="G86" s="236">
        <v>0.7</v>
      </c>
      <c r="H86" s="236">
        <v>3.25</v>
      </c>
      <c r="I86" s="236"/>
      <c r="J86" s="235">
        <v>1</v>
      </c>
      <c r="K86" s="236"/>
      <c r="L86" s="236">
        <f t="shared" si="11"/>
        <v>2.2749999999999999</v>
      </c>
      <c r="M86" s="111"/>
      <c r="N86" s="111"/>
      <c r="O86" s="111"/>
      <c r="P86" s="111"/>
    </row>
    <row r="87" spans="3:16" s="170" customFormat="1" x14ac:dyDescent="0.3">
      <c r="C87" s="114"/>
      <c r="D87" s="258" t="s">
        <v>539</v>
      </c>
      <c r="E87" s="239" t="s">
        <v>0</v>
      </c>
      <c r="F87" s="235">
        <v>1</v>
      </c>
      <c r="G87" s="236">
        <v>1.05</v>
      </c>
      <c r="H87" s="236">
        <v>3.05</v>
      </c>
      <c r="I87" s="236"/>
      <c r="J87" s="235">
        <v>1</v>
      </c>
      <c r="K87" s="236"/>
      <c r="L87" s="236">
        <f t="shared" si="11"/>
        <v>3.2025000000000001</v>
      </c>
      <c r="M87" s="111"/>
      <c r="N87" s="111"/>
      <c r="O87" s="111"/>
      <c r="P87" s="111"/>
    </row>
    <row r="88" spans="3:16" s="170" customFormat="1" x14ac:dyDescent="0.3">
      <c r="C88" s="114"/>
      <c r="D88" s="258" t="s">
        <v>540</v>
      </c>
      <c r="E88" s="239" t="s">
        <v>0</v>
      </c>
      <c r="F88" s="235">
        <v>1</v>
      </c>
      <c r="G88" s="236">
        <f>1.05+0.6</f>
        <v>1.65</v>
      </c>
      <c r="H88" s="236">
        <v>3.05</v>
      </c>
      <c r="I88" s="236"/>
      <c r="J88" s="235">
        <v>1</v>
      </c>
      <c r="K88" s="236"/>
      <c r="L88" s="236">
        <f t="shared" si="11"/>
        <v>5.0324999999999998</v>
      </c>
      <c r="M88" s="111"/>
      <c r="N88" s="111"/>
      <c r="O88" s="111"/>
      <c r="P88" s="111"/>
    </row>
    <row r="89" spans="3:16" s="170" customFormat="1" x14ac:dyDescent="0.3">
      <c r="C89" s="114"/>
      <c r="D89" s="258" t="s">
        <v>541</v>
      </c>
      <c r="E89" s="239" t="s">
        <v>0</v>
      </c>
      <c r="F89" s="235">
        <v>1</v>
      </c>
      <c r="G89" s="236">
        <v>0.88</v>
      </c>
      <c r="H89" s="236">
        <v>3.05</v>
      </c>
      <c r="I89" s="236"/>
      <c r="J89" s="235">
        <v>1</v>
      </c>
      <c r="K89" s="236"/>
      <c r="L89" s="236">
        <f t="shared" si="11"/>
        <v>2.6839999999999997</v>
      </c>
      <c r="M89" s="111"/>
      <c r="N89" s="111"/>
      <c r="O89" s="111"/>
      <c r="P89" s="111"/>
    </row>
    <row r="90" spans="3:16" s="170" customFormat="1" x14ac:dyDescent="0.3">
      <c r="C90" s="114"/>
      <c r="D90" s="258" t="s">
        <v>542</v>
      </c>
      <c r="E90" s="239" t="s">
        <v>0</v>
      </c>
      <c r="F90" s="235">
        <v>1</v>
      </c>
      <c r="G90" s="236">
        <v>0.25</v>
      </c>
      <c r="H90" s="236">
        <v>3.25</v>
      </c>
      <c r="I90" s="236"/>
      <c r="J90" s="235">
        <v>1</v>
      </c>
      <c r="K90" s="236"/>
      <c r="L90" s="236">
        <f t="shared" si="11"/>
        <v>0.8125</v>
      </c>
      <c r="M90" s="111"/>
      <c r="N90" s="111"/>
      <c r="O90" s="111"/>
      <c r="P90" s="111"/>
    </row>
    <row r="91" spans="3:16" s="170" customFormat="1" x14ac:dyDescent="0.3">
      <c r="C91" s="114"/>
      <c r="D91" s="258" t="s">
        <v>543</v>
      </c>
      <c r="E91" s="239" t="s">
        <v>0</v>
      </c>
      <c r="F91" s="235">
        <v>1</v>
      </c>
      <c r="G91" s="236">
        <v>0.7</v>
      </c>
      <c r="H91" s="236">
        <v>3.25</v>
      </c>
      <c r="I91" s="236"/>
      <c r="J91" s="235">
        <v>1</v>
      </c>
      <c r="K91" s="236"/>
      <c r="L91" s="236">
        <f t="shared" si="11"/>
        <v>2.2749999999999999</v>
      </c>
      <c r="M91" s="111"/>
      <c r="N91" s="111"/>
      <c r="O91" s="111"/>
      <c r="P91" s="111"/>
    </row>
    <row r="92" spans="3:16" s="170" customFormat="1" x14ac:dyDescent="0.3">
      <c r="C92" s="114"/>
      <c r="D92" s="258" t="s">
        <v>544</v>
      </c>
      <c r="E92" s="239" t="s">
        <v>0</v>
      </c>
      <c r="F92" s="235">
        <v>1</v>
      </c>
      <c r="G92" s="236">
        <f>1.8+1.55</f>
        <v>3.35</v>
      </c>
      <c r="H92" s="236">
        <v>3.05</v>
      </c>
      <c r="I92" s="236"/>
      <c r="J92" s="235">
        <v>1</v>
      </c>
      <c r="K92" s="236"/>
      <c r="L92" s="236">
        <f t="shared" si="11"/>
        <v>10.217499999999999</v>
      </c>
      <c r="M92" s="111"/>
      <c r="N92" s="111"/>
      <c r="O92" s="111"/>
      <c r="P92" s="111"/>
    </row>
    <row r="93" spans="3:16" s="170" customFormat="1" x14ac:dyDescent="0.3">
      <c r="C93" s="106"/>
      <c r="D93" s="120" t="s">
        <v>106</v>
      </c>
      <c r="E93" s="144"/>
      <c r="F93" s="3"/>
      <c r="G93" s="122" t="s">
        <v>198</v>
      </c>
      <c r="H93" s="122"/>
      <c r="I93" s="122"/>
      <c r="J93" s="3"/>
      <c r="K93" s="122"/>
      <c r="L93" s="122"/>
      <c r="M93" s="113"/>
      <c r="N93" s="113"/>
      <c r="O93" s="113"/>
      <c r="P93" s="113"/>
    </row>
    <row r="94" spans="3:16" s="170" customFormat="1" x14ac:dyDescent="0.3">
      <c r="C94" s="114"/>
      <c r="D94" s="258" t="s">
        <v>533</v>
      </c>
      <c r="E94" s="239" t="s">
        <v>0</v>
      </c>
      <c r="F94" s="235">
        <v>1</v>
      </c>
      <c r="G94" s="236">
        <v>1.05</v>
      </c>
      <c r="H94" s="236">
        <v>3.05</v>
      </c>
      <c r="I94" s="236"/>
      <c r="J94" s="235">
        <v>1</v>
      </c>
      <c r="K94" s="236"/>
      <c r="L94" s="236">
        <f t="shared" ref="L94:L105" si="12">IF(F94="","",PRODUCT(F94:J94))</f>
        <v>3.2025000000000001</v>
      </c>
      <c r="M94" s="111"/>
      <c r="N94" s="111"/>
      <c r="O94" s="111"/>
      <c r="P94" s="111"/>
    </row>
    <row r="95" spans="3:16" s="170" customFormat="1" x14ac:dyDescent="0.3">
      <c r="C95" s="114"/>
      <c r="D95" s="258" t="s">
        <v>534</v>
      </c>
      <c r="E95" s="239" t="s">
        <v>0</v>
      </c>
      <c r="F95" s="235">
        <v>1</v>
      </c>
      <c r="G95" s="236">
        <v>1.8</v>
      </c>
      <c r="H95" s="236">
        <v>3.05</v>
      </c>
      <c r="I95" s="236"/>
      <c r="J95" s="235">
        <v>1</v>
      </c>
      <c r="K95" s="236"/>
      <c r="L95" s="236">
        <f t="shared" si="12"/>
        <v>5.49</v>
      </c>
      <c r="M95" s="111"/>
      <c r="N95" s="111"/>
      <c r="O95" s="111"/>
      <c r="P95" s="111"/>
    </row>
    <row r="96" spans="3:16" s="170" customFormat="1" x14ac:dyDescent="0.3">
      <c r="C96" s="114"/>
      <c r="D96" s="258" t="s">
        <v>535</v>
      </c>
      <c r="E96" s="239" t="s">
        <v>0</v>
      </c>
      <c r="F96" s="235">
        <v>1</v>
      </c>
      <c r="G96" s="236">
        <v>0.6</v>
      </c>
      <c r="H96" s="236">
        <v>3.05</v>
      </c>
      <c r="I96" s="236"/>
      <c r="J96" s="235">
        <v>1</v>
      </c>
      <c r="K96" s="236"/>
      <c r="L96" s="236">
        <f t="shared" si="12"/>
        <v>1.8299999999999998</v>
      </c>
      <c r="M96" s="111"/>
      <c r="N96" s="111"/>
      <c r="O96" s="111"/>
      <c r="P96" s="111"/>
    </row>
    <row r="97" spans="1:16" s="170" customFormat="1" x14ac:dyDescent="0.3">
      <c r="C97" s="114"/>
      <c r="D97" s="258" t="s">
        <v>536</v>
      </c>
      <c r="E97" s="239" t="s">
        <v>0</v>
      </c>
      <c r="F97" s="235">
        <v>1</v>
      </c>
      <c r="G97" s="236">
        <v>1.03</v>
      </c>
      <c r="H97" s="236">
        <v>3.05</v>
      </c>
      <c r="I97" s="236"/>
      <c r="J97" s="235">
        <v>1</v>
      </c>
      <c r="K97" s="236"/>
      <c r="L97" s="236">
        <f t="shared" si="12"/>
        <v>3.1414999999999997</v>
      </c>
      <c r="M97" s="111"/>
      <c r="N97" s="111"/>
      <c r="O97" s="111"/>
      <c r="P97" s="111"/>
    </row>
    <row r="98" spans="1:16" s="170" customFormat="1" x14ac:dyDescent="0.3">
      <c r="C98" s="114"/>
      <c r="D98" s="258" t="s">
        <v>537</v>
      </c>
      <c r="E98" s="239" t="s">
        <v>0</v>
      </c>
      <c r="F98" s="235">
        <v>1</v>
      </c>
      <c r="G98" s="236">
        <f>0.25+1.18</f>
        <v>1.43</v>
      </c>
      <c r="H98" s="236">
        <v>2.95</v>
      </c>
      <c r="I98" s="236"/>
      <c r="J98" s="235">
        <v>1</v>
      </c>
      <c r="K98" s="236"/>
      <c r="L98" s="236">
        <f t="shared" si="12"/>
        <v>4.2184999999999997</v>
      </c>
      <c r="M98" s="111"/>
      <c r="N98" s="111"/>
      <c r="O98" s="111"/>
      <c r="P98" s="111"/>
    </row>
    <row r="99" spans="1:16" s="170" customFormat="1" x14ac:dyDescent="0.3">
      <c r="C99" s="114"/>
      <c r="D99" s="258" t="s">
        <v>538</v>
      </c>
      <c r="E99" s="239" t="s">
        <v>0</v>
      </c>
      <c r="F99" s="235">
        <v>1</v>
      </c>
      <c r="G99" s="236">
        <v>0.7</v>
      </c>
      <c r="H99" s="236">
        <v>3.25</v>
      </c>
      <c r="I99" s="236"/>
      <c r="J99" s="235">
        <v>1</v>
      </c>
      <c r="K99" s="236"/>
      <c r="L99" s="236">
        <f t="shared" si="12"/>
        <v>2.2749999999999999</v>
      </c>
      <c r="M99" s="111"/>
      <c r="N99" s="111"/>
      <c r="O99" s="111"/>
      <c r="P99" s="111"/>
    </row>
    <row r="100" spans="1:16" s="170" customFormat="1" x14ac:dyDescent="0.3">
      <c r="C100" s="114"/>
      <c r="D100" s="258" t="s">
        <v>539</v>
      </c>
      <c r="E100" s="239" t="s">
        <v>0</v>
      </c>
      <c r="F100" s="235">
        <v>1</v>
      </c>
      <c r="G100" s="236">
        <v>1.05</v>
      </c>
      <c r="H100" s="236">
        <v>3.05</v>
      </c>
      <c r="I100" s="236"/>
      <c r="J100" s="235">
        <v>1</v>
      </c>
      <c r="K100" s="236"/>
      <c r="L100" s="236">
        <f t="shared" si="12"/>
        <v>3.2025000000000001</v>
      </c>
      <c r="M100" s="111"/>
      <c r="N100" s="111"/>
      <c r="O100" s="111"/>
      <c r="P100" s="111"/>
    </row>
    <row r="101" spans="1:16" s="170" customFormat="1" x14ac:dyDescent="0.3">
      <c r="C101" s="114"/>
      <c r="D101" s="258" t="s">
        <v>540</v>
      </c>
      <c r="E101" s="239" t="s">
        <v>0</v>
      </c>
      <c r="F101" s="235">
        <v>1</v>
      </c>
      <c r="G101" s="236">
        <f>1.05+0.6</f>
        <v>1.65</v>
      </c>
      <c r="H101" s="236">
        <v>3.05</v>
      </c>
      <c r="I101" s="236"/>
      <c r="J101" s="235">
        <v>1</v>
      </c>
      <c r="K101" s="236"/>
      <c r="L101" s="236">
        <f t="shared" si="12"/>
        <v>5.0324999999999998</v>
      </c>
      <c r="M101" s="111"/>
      <c r="N101" s="111"/>
      <c r="O101" s="111"/>
      <c r="P101" s="111"/>
    </row>
    <row r="102" spans="1:16" s="170" customFormat="1" x14ac:dyDescent="0.3">
      <c r="C102" s="114"/>
      <c r="D102" s="258" t="s">
        <v>541</v>
      </c>
      <c r="E102" s="239" t="s">
        <v>0</v>
      </c>
      <c r="F102" s="235">
        <v>1</v>
      </c>
      <c r="G102" s="236">
        <v>0.88</v>
      </c>
      <c r="H102" s="236">
        <v>3.05</v>
      </c>
      <c r="I102" s="236"/>
      <c r="J102" s="235">
        <v>1</v>
      </c>
      <c r="K102" s="236"/>
      <c r="L102" s="236">
        <f t="shared" si="12"/>
        <v>2.6839999999999997</v>
      </c>
      <c r="M102" s="111"/>
      <c r="N102" s="111"/>
      <c r="O102" s="111"/>
      <c r="P102" s="111"/>
    </row>
    <row r="103" spans="1:16" s="170" customFormat="1" x14ac:dyDescent="0.3">
      <c r="C103" s="114"/>
      <c r="D103" s="258" t="s">
        <v>542</v>
      </c>
      <c r="E103" s="239" t="s">
        <v>0</v>
      </c>
      <c r="F103" s="235">
        <v>1</v>
      </c>
      <c r="G103" s="236">
        <v>0.25</v>
      </c>
      <c r="H103" s="236">
        <v>3.25</v>
      </c>
      <c r="I103" s="236"/>
      <c r="J103" s="235">
        <v>1</v>
      </c>
      <c r="K103" s="236"/>
      <c r="L103" s="236">
        <f t="shared" si="12"/>
        <v>0.8125</v>
      </c>
      <c r="M103" s="111"/>
      <c r="N103" s="111"/>
      <c r="O103" s="111"/>
      <c r="P103" s="111"/>
    </row>
    <row r="104" spans="1:16" s="170" customFormat="1" x14ac:dyDescent="0.3">
      <c r="C104" s="114"/>
      <c r="D104" s="258" t="s">
        <v>543</v>
      </c>
      <c r="E104" s="239" t="s">
        <v>0</v>
      </c>
      <c r="F104" s="235">
        <v>1</v>
      </c>
      <c r="G104" s="236">
        <v>0.7</v>
      </c>
      <c r="H104" s="236">
        <v>3.25</v>
      </c>
      <c r="I104" s="236"/>
      <c r="J104" s="235">
        <v>1</v>
      </c>
      <c r="K104" s="236"/>
      <c r="L104" s="236">
        <f t="shared" si="12"/>
        <v>2.2749999999999999</v>
      </c>
      <c r="M104" s="111"/>
      <c r="N104" s="111"/>
      <c r="O104" s="111"/>
      <c r="P104" s="111"/>
    </row>
    <row r="105" spans="1:16" s="170" customFormat="1" x14ac:dyDescent="0.3">
      <c r="C105" s="114"/>
      <c r="D105" s="258" t="s">
        <v>544</v>
      </c>
      <c r="E105" s="239" t="s">
        <v>0</v>
      </c>
      <c r="F105" s="235">
        <v>1</v>
      </c>
      <c r="G105" s="236">
        <f>1.8+1.55</f>
        <v>3.35</v>
      </c>
      <c r="H105" s="236">
        <v>3.05</v>
      </c>
      <c r="I105" s="236"/>
      <c r="J105" s="235">
        <v>1</v>
      </c>
      <c r="K105" s="236"/>
      <c r="L105" s="236">
        <f t="shared" si="12"/>
        <v>10.217499999999999</v>
      </c>
      <c r="M105" s="111"/>
      <c r="N105" s="111"/>
      <c r="O105" s="111"/>
      <c r="P105" s="111"/>
    </row>
    <row r="106" spans="1:16" s="170" customFormat="1" x14ac:dyDescent="0.3">
      <c r="A106" s="170">
        <v>3</v>
      </c>
      <c r="C106" s="114"/>
      <c r="D106" s="265"/>
      <c r="E106" s="116"/>
      <c r="F106" s="109"/>
      <c r="G106" s="110"/>
      <c r="H106" s="110"/>
      <c r="I106" s="110"/>
      <c r="J106" s="109"/>
      <c r="K106" s="110"/>
      <c r="L106" s="110"/>
      <c r="M106" s="111"/>
      <c r="N106" s="111"/>
      <c r="O106" s="111"/>
      <c r="P106" s="111"/>
    </row>
    <row r="107" spans="1:16" s="217" customFormat="1" x14ac:dyDescent="0.2">
      <c r="A107" s="215"/>
      <c r="B107" s="216"/>
      <c r="C107" s="99" t="s">
        <v>1183</v>
      </c>
      <c r="D107" s="100" t="s">
        <v>519</v>
      </c>
      <c r="E107" s="101" t="s">
        <v>0</v>
      </c>
      <c r="F107" s="1"/>
      <c r="G107" s="2"/>
      <c r="H107" s="2"/>
      <c r="I107" s="2"/>
      <c r="J107" s="3"/>
      <c r="K107" s="122"/>
      <c r="L107" s="122"/>
      <c r="M107" s="103"/>
      <c r="N107" s="103"/>
      <c r="O107" s="103"/>
      <c r="P107" s="103">
        <f>SUM(L107:L150)</f>
        <v>24.924000000000003</v>
      </c>
    </row>
    <row r="108" spans="1:16" s="217" customFormat="1" x14ac:dyDescent="0.2">
      <c r="A108" s="215"/>
      <c r="B108" s="216"/>
      <c r="C108" s="106"/>
      <c r="D108" s="120" t="s">
        <v>127</v>
      </c>
      <c r="E108" s="144"/>
      <c r="F108" s="3"/>
      <c r="G108" s="122"/>
      <c r="H108" s="122"/>
      <c r="I108" s="122"/>
      <c r="J108" s="3"/>
      <c r="K108" s="122"/>
      <c r="L108" s="122"/>
      <c r="M108" s="113"/>
      <c r="N108" s="113"/>
      <c r="O108" s="113"/>
      <c r="P108" s="113"/>
    </row>
    <row r="109" spans="1:16" s="217" customFormat="1" x14ac:dyDescent="0.2">
      <c r="A109" s="215"/>
      <c r="B109" s="216"/>
      <c r="C109" s="114"/>
      <c r="D109" s="258" t="s">
        <v>545</v>
      </c>
      <c r="E109" s="234" t="s">
        <v>0</v>
      </c>
      <c r="F109" s="235">
        <v>1</v>
      </c>
      <c r="G109" s="236">
        <v>2.35</v>
      </c>
      <c r="H109" s="236">
        <v>0.1</v>
      </c>
      <c r="I109" s="236">
        <f>0.2</f>
        <v>0.2</v>
      </c>
      <c r="J109" s="235">
        <v>1</v>
      </c>
      <c r="K109" s="249"/>
      <c r="L109" s="237">
        <f>((I109)+H109)*F109*G109*J109</f>
        <v>0.70500000000000018</v>
      </c>
      <c r="M109" s="111"/>
      <c r="N109" s="111"/>
      <c r="O109" s="111"/>
      <c r="P109" s="111"/>
    </row>
    <row r="110" spans="1:16" s="217" customFormat="1" x14ac:dyDescent="0.2">
      <c r="A110" s="215"/>
      <c r="B110" s="216"/>
      <c r="C110" s="114"/>
      <c r="D110" s="258" t="s">
        <v>546</v>
      </c>
      <c r="E110" s="239" t="s">
        <v>0</v>
      </c>
      <c r="F110" s="235">
        <v>1</v>
      </c>
      <c r="G110" s="236">
        <v>2.35</v>
      </c>
      <c r="H110" s="236">
        <v>0.25</v>
      </c>
      <c r="I110" s="236">
        <v>0.4</v>
      </c>
      <c r="J110" s="235">
        <v>1</v>
      </c>
      <c r="K110" s="236"/>
      <c r="L110" s="237">
        <f t="shared" ref="L110:L121" si="13">((I110)+H110)*F110*G110*J110</f>
        <v>1.5275000000000001</v>
      </c>
      <c r="M110" s="111"/>
      <c r="N110" s="111"/>
      <c r="O110" s="111"/>
      <c r="P110" s="111"/>
    </row>
    <row r="111" spans="1:16" s="217" customFormat="1" x14ac:dyDescent="0.2">
      <c r="A111" s="215"/>
      <c r="B111" s="216"/>
      <c r="C111" s="114"/>
      <c r="D111" s="258" t="s">
        <v>547</v>
      </c>
      <c r="E111" s="239" t="s">
        <v>0</v>
      </c>
      <c r="F111" s="235">
        <v>1</v>
      </c>
      <c r="G111" s="236">
        <v>1</v>
      </c>
      <c r="H111" s="236">
        <v>0.25</v>
      </c>
      <c r="I111" s="236">
        <v>0.4</v>
      </c>
      <c r="J111" s="235">
        <v>1</v>
      </c>
      <c r="K111" s="236"/>
      <c r="L111" s="237">
        <f t="shared" si="13"/>
        <v>0.65</v>
      </c>
      <c r="M111" s="111"/>
      <c r="N111" s="111"/>
      <c r="O111" s="111"/>
      <c r="P111" s="111"/>
    </row>
    <row r="112" spans="1:16" s="217" customFormat="1" x14ac:dyDescent="0.2">
      <c r="A112" s="215"/>
      <c r="B112" s="216"/>
      <c r="C112" s="114"/>
      <c r="D112" s="258"/>
      <c r="E112" s="239" t="s">
        <v>0</v>
      </c>
      <c r="F112" s="235">
        <v>1</v>
      </c>
      <c r="G112" s="236">
        <v>1</v>
      </c>
      <c r="H112" s="236">
        <v>0.1</v>
      </c>
      <c r="I112" s="236">
        <v>0.4</v>
      </c>
      <c r="J112" s="235">
        <v>1</v>
      </c>
      <c r="K112" s="236"/>
      <c r="L112" s="237">
        <f t="shared" si="13"/>
        <v>0.5</v>
      </c>
      <c r="M112" s="111"/>
      <c r="N112" s="111"/>
      <c r="O112" s="111"/>
      <c r="P112" s="111"/>
    </row>
    <row r="113" spans="1:16" s="217" customFormat="1" x14ac:dyDescent="0.2">
      <c r="A113" s="215"/>
      <c r="B113" s="216"/>
      <c r="C113" s="114"/>
      <c r="D113" s="266" t="s">
        <v>548</v>
      </c>
      <c r="E113" s="239" t="s">
        <v>0</v>
      </c>
      <c r="F113" s="235">
        <v>1</v>
      </c>
      <c r="G113" s="236">
        <v>0.6</v>
      </c>
      <c r="H113" s="236">
        <v>0.25</v>
      </c>
      <c r="I113" s="236">
        <v>0.4</v>
      </c>
      <c r="J113" s="235">
        <v>1</v>
      </c>
      <c r="K113" s="236"/>
      <c r="L113" s="237">
        <f t="shared" si="13"/>
        <v>0.39</v>
      </c>
      <c r="M113" s="111"/>
      <c r="N113" s="111"/>
      <c r="O113" s="111"/>
      <c r="P113" s="111"/>
    </row>
    <row r="114" spans="1:16" s="217" customFormat="1" x14ac:dyDescent="0.2">
      <c r="A114" s="215"/>
      <c r="B114" s="216"/>
      <c r="C114" s="114"/>
      <c r="D114" s="258"/>
      <c r="E114" s="239"/>
      <c r="F114" s="235"/>
      <c r="G114" s="236">
        <v>2.85</v>
      </c>
      <c r="H114" s="236">
        <v>0.1</v>
      </c>
      <c r="I114" s="236">
        <v>0.4</v>
      </c>
      <c r="J114" s="235"/>
      <c r="K114" s="236"/>
      <c r="L114" s="237"/>
      <c r="M114" s="111"/>
      <c r="N114" s="111"/>
      <c r="O114" s="111"/>
      <c r="P114" s="111"/>
    </row>
    <row r="115" spans="1:16" s="217" customFormat="1" x14ac:dyDescent="0.2">
      <c r="A115" s="215"/>
      <c r="B115" s="216"/>
      <c r="C115" s="114"/>
      <c r="D115" s="258" t="s">
        <v>549</v>
      </c>
      <c r="E115" s="239" t="s">
        <v>0</v>
      </c>
      <c r="F115" s="235">
        <v>1</v>
      </c>
      <c r="G115" s="236">
        <v>3.35</v>
      </c>
      <c r="H115" s="236">
        <v>0.35</v>
      </c>
      <c r="I115" s="236"/>
      <c r="J115" s="235">
        <v>1</v>
      </c>
      <c r="K115" s="236"/>
      <c r="L115" s="237">
        <f t="shared" si="13"/>
        <v>1.1724999999999999</v>
      </c>
      <c r="M115" s="111"/>
      <c r="N115" s="111"/>
      <c r="O115" s="111"/>
      <c r="P115" s="111"/>
    </row>
    <row r="116" spans="1:16" s="217" customFormat="1" x14ac:dyDescent="0.2">
      <c r="A116" s="215"/>
      <c r="B116" s="216"/>
      <c r="C116" s="114"/>
      <c r="D116" s="258" t="s">
        <v>550</v>
      </c>
      <c r="E116" s="239" t="s">
        <v>0</v>
      </c>
      <c r="F116" s="235">
        <v>1</v>
      </c>
      <c r="G116" s="236">
        <v>2.82</v>
      </c>
      <c r="H116" s="236"/>
      <c r="I116" s="236">
        <v>0.2</v>
      </c>
      <c r="J116" s="235">
        <v>1</v>
      </c>
      <c r="K116" s="236"/>
      <c r="L116" s="237">
        <f t="shared" si="13"/>
        <v>0.56399999999999995</v>
      </c>
      <c r="M116" s="111"/>
      <c r="N116" s="111"/>
      <c r="O116" s="111"/>
      <c r="P116" s="111"/>
    </row>
    <row r="117" spans="1:16" s="217" customFormat="1" x14ac:dyDescent="0.2">
      <c r="A117" s="215"/>
      <c r="B117" s="216"/>
      <c r="C117" s="114"/>
      <c r="D117" s="258" t="s">
        <v>551</v>
      </c>
      <c r="E117" s="239" t="s">
        <v>0</v>
      </c>
      <c r="F117" s="235">
        <v>1</v>
      </c>
      <c r="G117" s="236">
        <v>1.9</v>
      </c>
      <c r="H117" s="236"/>
      <c r="I117" s="236">
        <v>0.2</v>
      </c>
      <c r="J117" s="235">
        <v>1</v>
      </c>
      <c r="K117" s="236"/>
      <c r="L117" s="237">
        <f t="shared" si="13"/>
        <v>0.38</v>
      </c>
      <c r="M117" s="111"/>
      <c r="N117" s="111"/>
      <c r="O117" s="111"/>
      <c r="P117" s="111"/>
    </row>
    <row r="118" spans="1:16" s="217" customFormat="1" x14ac:dyDescent="0.2">
      <c r="A118" s="215"/>
      <c r="B118" s="216"/>
      <c r="C118" s="114"/>
      <c r="D118" s="258" t="s">
        <v>552</v>
      </c>
      <c r="E118" s="239" t="s">
        <v>0</v>
      </c>
      <c r="F118" s="235">
        <v>1</v>
      </c>
      <c r="G118" s="236">
        <v>2.95</v>
      </c>
      <c r="H118" s="236">
        <v>0.25</v>
      </c>
      <c r="I118" s="236"/>
      <c r="J118" s="235">
        <v>1</v>
      </c>
      <c r="K118" s="236"/>
      <c r="L118" s="237">
        <f t="shared" si="13"/>
        <v>0.73750000000000004</v>
      </c>
      <c r="M118" s="111"/>
      <c r="N118" s="111"/>
      <c r="O118" s="111"/>
      <c r="P118" s="111"/>
    </row>
    <row r="119" spans="1:16" s="217" customFormat="1" x14ac:dyDescent="0.2">
      <c r="A119" s="215"/>
      <c r="B119" s="216"/>
      <c r="C119" s="114"/>
      <c r="D119" s="258" t="s">
        <v>553</v>
      </c>
      <c r="E119" s="239" t="s">
        <v>0</v>
      </c>
      <c r="F119" s="235">
        <v>1</v>
      </c>
      <c r="G119" s="236">
        <v>2.82</v>
      </c>
      <c r="H119" s="236"/>
      <c r="I119" s="236">
        <v>0.2</v>
      </c>
      <c r="J119" s="235">
        <v>1</v>
      </c>
      <c r="K119" s="236"/>
      <c r="L119" s="237">
        <f t="shared" si="13"/>
        <v>0.56399999999999995</v>
      </c>
      <c r="M119" s="111"/>
      <c r="N119" s="111"/>
      <c r="O119" s="111"/>
      <c r="P119" s="111"/>
    </row>
    <row r="120" spans="1:16" s="170" customFormat="1" x14ac:dyDescent="0.3">
      <c r="C120" s="114"/>
      <c r="D120" s="258" t="s">
        <v>554</v>
      </c>
      <c r="E120" s="239" t="s">
        <v>0</v>
      </c>
      <c r="F120" s="235">
        <v>1</v>
      </c>
      <c r="G120" s="236">
        <v>1.9</v>
      </c>
      <c r="H120" s="236"/>
      <c r="I120" s="236">
        <v>0.2</v>
      </c>
      <c r="J120" s="235">
        <v>1</v>
      </c>
      <c r="K120" s="236"/>
      <c r="L120" s="237">
        <f t="shared" si="13"/>
        <v>0.38</v>
      </c>
      <c r="M120" s="111"/>
      <c r="N120" s="111"/>
      <c r="O120" s="111"/>
      <c r="P120" s="111"/>
    </row>
    <row r="121" spans="1:16" s="170" customFormat="1" x14ac:dyDescent="0.3">
      <c r="C121" s="114"/>
      <c r="D121" s="258" t="s">
        <v>555</v>
      </c>
      <c r="E121" s="239" t="s">
        <v>0</v>
      </c>
      <c r="F121" s="235">
        <v>1</v>
      </c>
      <c r="G121" s="236">
        <v>2.95</v>
      </c>
      <c r="H121" s="236">
        <v>0.25</v>
      </c>
      <c r="I121" s="236"/>
      <c r="J121" s="235">
        <v>1</v>
      </c>
      <c r="K121" s="236"/>
      <c r="L121" s="237">
        <f t="shared" si="13"/>
        <v>0.73750000000000004</v>
      </c>
      <c r="M121" s="111"/>
      <c r="N121" s="111"/>
      <c r="O121" s="111"/>
      <c r="P121" s="111"/>
    </row>
    <row r="122" spans="1:16" s="170" customFormat="1" x14ac:dyDescent="0.3">
      <c r="C122" s="106"/>
      <c r="D122" s="120" t="s">
        <v>68</v>
      </c>
      <c r="E122" s="144"/>
      <c r="F122" s="3"/>
      <c r="G122" s="122"/>
      <c r="H122" s="122"/>
      <c r="I122" s="122" t="s">
        <v>556</v>
      </c>
      <c r="J122" s="3"/>
      <c r="K122" s="122"/>
      <c r="L122" s="122"/>
      <c r="M122" s="113"/>
      <c r="N122" s="113"/>
      <c r="O122" s="113"/>
      <c r="P122" s="113"/>
    </row>
    <row r="123" spans="1:16" s="170" customFormat="1" x14ac:dyDescent="0.3">
      <c r="C123" s="114"/>
      <c r="D123" s="258" t="s">
        <v>545</v>
      </c>
      <c r="E123" s="234" t="s">
        <v>0</v>
      </c>
      <c r="F123" s="235">
        <v>1</v>
      </c>
      <c r="G123" s="236">
        <v>2.35</v>
      </c>
      <c r="H123" s="236">
        <v>0.1</v>
      </c>
      <c r="I123" s="236">
        <f>0.2</f>
        <v>0.2</v>
      </c>
      <c r="J123" s="235">
        <v>1</v>
      </c>
      <c r="K123" s="249"/>
      <c r="L123" s="237">
        <f>((I123)+H123)*F123*G123*J123</f>
        <v>0.70500000000000018</v>
      </c>
      <c r="M123" s="111"/>
      <c r="N123" s="111"/>
      <c r="O123" s="111"/>
      <c r="P123" s="111"/>
    </row>
    <row r="124" spans="1:16" s="170" customFormat="1" x14ac:dyDescent="0.3">
      <c r="C124" s="114"/>
      <c r="D124" s="258" t="s">
        <v>546</v>
      </c>
      <c r="E124" s="239" t="s">
        <v>0</v>
      </c>
      <c r="F124" s="235">
        <v>1</v>
      </c>
      <c r="G124" s="236">
        <v>2.35</v>
      </c>
      <c r="H124" s="236">
        <v>0.25</v>
      </c>
      <c r="I124" s="236">
        <v>0.4</v>
      </c>
      <c r="J124" s="235">
        <v>1</v>
      </c>
      <c r="K124" s="236"/>
      <c r="L124" s="237">
        <f t="shared" ref="L124:L127" si="14">((I124)+H124)*F124*G124*J124</f>
        <v>1.5275000000000001</v>
      </c>
      <c r="M124" s="111"/>
      <c r="N124" s="111"/>
      <c r="O124" s="111"/>
      <c r="P124" s="111"/>
    </row>
    <row r="125" spans="1:16" s="170" customFormat="1" x14ac:dyDescent="0.3">
      <c r="C125" s="114"/>
      <c r="D125" s="258" t="s">
        <v>547</v>
      </c>
      <c r="E125" s="239" t="s">
        <v>0</v>
      </c>
      <c r="F125" s="235">
        <v>1</v>
      </c>
      <c r="G125" s="236">
        <v>1</v>
      </c>
      <c r="H125" s="236">
        <v>0.25</v>
      </c>
      <c r="I125" s="236">
        <v>0.4</v>
      </c>
      <c r="J125" s="235">
        <v>1</v>
      </c>
      <c r="K125" s="236"/>
      <c r="L125" s="237">
        <f t="shared" si="14"/>
        <v>0.65</v>
      </c>
      <c r="M125" s="111"/>
      <c r="N125" s="111"/>
      <c r="O125" s="111"/>
      <c r="P125" s="111"/>
    </row>
    <row r="126" spans="1:16" s="170" customFormat="1" x14ac:dyDescent="0.3">
      <c r="C126" s="114"/>
      <c r="D126" s="258"/>
      <c r="E126" s="239" t="s">
        <v>0</v>
      </c>
      <c r="F126" s="235">
        <v>1</v>
      </c>
      <c r="G126" s="236">
        <v>1</v>
      </c>
      <c r="H126" s="236">
        <v>0.1</v>
      </c>
      <c r="I126" s="236">
        <v>0.4</v>
      </c>
      <c r="J126" s="235">
        <v>1</v>
      </c>
      <c r="K126" s="236"/>
      <c r="L126" s="237">
        <f t="shared" si="14"/>
        <v>0.5</v>
      </c>
      <c r="M126" s="111"/>
      <c r="N126" s="111"/>
      <c r="O126" s="111"/>
      <c r="P126" s="111"/>
    </row>
    <row r="127" spans="1:16" s="170" customFormat="1" x14ac:dyDescent="0.3">
      <c r="C127" s="114"/>
      <c r="D127" s="266" t="s">
        <v>548</v>
      </c>
      <c r="E127" s="239" t="s">
        <v>0</v>
      </c>
      <c r="F127" s="235">
        <v>1</v>
      </c>
      <c r="G127" s="236">
        <v>0.6</v>
      </c>
      <c r="H127" s="236">
        <v>0.25</v>
      </c>
      <c r="I127" s="236">
        <v>0.4</v>
      </c>
      <c r="J127" s="235">
        <v>1</v>
      </c>
      <c r="K127" s="236"/>
      <c r="L127" s="237">
        <f t="shared" si="14"/>
        <v>0.39</v>
      </c>
      <c r="M127" s="111"/>
      <c r="N127" s="111"/>
      <c r="O127" s="111"/>
      <c r="P127" s="111"/>
    </row>
    <row r="128" spans="1:16" s="170" customFormat="1" x14ac:dyDescent="0.3">
      <c r="C128" s="114"/>
      <c r="D128" s="258"/>
      <c r="E128" s="239"/>
      <c r="F128" s="235"/>
      <c r="G128" s="236">
        <v>2.85</v>
      </c>
      <c r="H128" s="236">
        <v>0.1</v>
      </c>
      <c r="I128" s="236">
        <v>0.4</v>
      </c>
      <c r="J128" s="235"/>
      <c r="K128" s="236"/>
      <c r="L128" s="237"/>
      <c r="M128" s="111"/>
      <c r="N128" s="111"/>
      <c r="O128" s="111"/>
      <c r="P128" s="111"/>
    </row>
    <row r="129" spans="1:16" s="170" customFormat="1" x14ac:dyDescent="0.3">
      <c r="C129" s="114"/>
      <c r="D129" s="258" t="s">
        <v>549</v>
      </c>
      <c r="E129" s="239" t="s">
        <v>0</v>
      </c>
      <c r="F129" s="235">
        <v>1</v>
      </c>
      <c r="G129" s="236">
        <v>3.35</v>
      </c>
      <c r="H129" s="236">
        <v>0.35</v>
      </c>
      <c r="I129" s="236"/>
      <c r="J129" s="235">
        <v>1</v>
      </c>
      <c r="K129" s="236"/>
      <c r="L129" s="237">
        <f t="shared" ref="L129:L135" si="15">((I129)+H129)*F129*G129*J129</f>
        <v>1.1724999999999999</v>
      </c>
      <c r="M129" s="111"/>
      <c r="N129" s="111"/>
      <c r="O129" s="111"/>
      <c r="P129" s="111"/>
    </row>
    <row r="130" spans="1:16" s="170" customFormat="1" x14ac:dyDescent="0.3">
      <c r="C130" s="114"/>
      <c r="D130" s="258" t="s">
        <v>550</v>
      </c>
      <c r="E130" s="239" t="s">
        <v>0</v>
      </c>
      <c r="F130" s="235">
        <v>1</v>
      </c>
      <c r="G130" s="236">
        <v>2.82</v>
      </c>
      <c r="H130" s="236"/>
      <c r="I130" s="236">
        <v>0.2</v>
      </c>
      <c r="J130" s="235">
        <v>1</v>
      </c>
      <c r="K130" s="236"/>
      <c r="L130" s="237">
        <f t="shared" si="15"/>
        <v>0.56399999999999995</v>
      </c>
      <c r="M130" s="111"/>
      <c r="N130" s="111"/>
      <c r="O130" s="111"/>
      <c r="P130" s="111"/>
    </row>
    <row r="131" spans="1:16" s="170" customFormat="1" x14ac:dyDescent="0.3">
      <c r="C131" s="114"/>
      <c r="D131" s="258" t="s">
        <v>551</v>
      </c>
      <c r="E131" s="239" t="s">
        <v>0</v>
      </c>
      <c r="F131" s="235">
        <v>1</v>
      </c>
      <c r="G131" s="236">
        <v>1.9</v>
      </c>
      <c r="H131" s="236"/>
      <c r="I131" s="236">
        <v>0.2</v>
      </c>
      <c r="J131" s="235">
        <v>1</v>
      </c>
      <c r="K131" s="236"/>
      <c r="L131" s="237">
        <f t="shared" si="15"/>
        <v>0.38</v>
      </c>
      <c r="M131" s="111"/>
      <c r="N131" s="111"/>
      <c r="O131" s="111"/>
      <c r="P131" s="111"/>
    </row>
    <row r="132" spans="1:16" s="217" customFormat="1" x14ac:dyDescent="0.2">
      <c r="A132" s="215"/>
      <c r="B132" s="216"/>
      <c r="C132" s="114"/>
      <c r="D132" s="258" t="s">
        <v>552</v>
      </c>
      <c r="E132" s="239" t="s">
        <v>0</v>
      </c>
      <c r="F132" s="235">
        <v>1</v>
      </c>
      <c r="G132" s="236">
        <v>2.95</v>
      </c>
      <c r="H132" s="236">
        <v>0.25</v>
      </c>
      <c r="I132" s="236"/>
      <c r="J132" s="235">
        <v>1</v>
      </c>
      <c r="K132" s="236"/>
      <c r="L132" s="237">
        <f t="shared" si="15"/>
        <v>0.73750000000000004</v>
      </c>
      <c r="M132" s="111"/>
      <c r="N132" s="111"/>
      <c r="O132" s="111"/>
      <c r="P132" s="111"/>
    </row>
    <row r="133" spans="1:16" s="217" customFormat="1" x14ac:dyDescent="0.2">
      <c r="A133" s="215"/>
      <c r="B133" s="216"/>
      <c r="C133" s="114"/>
      <c r="D133" s="258" t="s">
        <v>553</v>
      </c>
      <c r="E133" s="239" t="s">
        <v>0</v>
      </c>
      <c r="F133" s="235">
        <v>1</v>
      </c>
      <c r="G133" s="236">
        <v>2.82</v>
      </c>
      <c r="H133" s="236"/>
      <c r="I133" s="236">
        <v>0.2</v>
      </c>
      <c r="J133" s="235">
        <v>1</v>
      </c>
      <c r="K133" s="236"/>
      <c r="L133" s="237">
        <f t="shared" si="15"/>
        <v>0.56399999999999995</v>
      </c>
      <c r="M133" s="111"/>
      <c r="N133" s="111"/>
      <c r="O133" s="111"/>
      <c r="P133" s="111"/>
    </row>
    <row r="134" spans="1:16" s="217" customFormat="1" x14ac:dyDescent="0.2">
      <c r="A134" s="215"/>
      <c r="B134" s="216"/>
      <c r="C134" s="114"/>
      <c r="D134" s="258" t="s">
        <v>554</v>
      </c>
      <c r="E134" s="239" t="s">
        <v>0</v>
      </c>
      <c r="F134" s="235">
        <v>1</v>
      </c>
      <c r="G134" s="236">
        <v>1.9</v>
      </c>
      <c r="H134" s="236"/>
      <c r="I134" s="236">
        <v>0.2</v>
      </c>
      <c r="J134" s="235">
        <v>1</v>
      </c>
      <c r="K134" s="236"/>
      <c r="L134" s="237">
        <f t="shared" si="15"/>
        <v>0.38</v>
      </c>
      <c r="M134" s="111"/>
      <c r="N134" s="111"/>
      <c r="O134" s="111"/>
      <c r="P134" s="111"/>
    </row>
    <row r="135" spans="1:16" s="217" customFormat="1" x14ac:dyDescent="0.2">
      <c r="A135" s="215"/>
      <c r="B135" s="216"/>
      <c r="C135" s="114"/>
      <c r="D135" s="258" t="s">
        <v>555</v>
      </c>
      <c r="E135" s="239" t="s">
        <v>0</v>
      </c>
      <c r="F135" s="235">
        <v>1</v>
      </c>
      <c r="G135" s="236">
        <v>2.95</v>
      </c>
      <c r="H135" s="236">
        <v>0.25</v>
      </c>
      <c r="I135" s="236"/>
      <c r="J135" s="235">
        <v>1</v>
      </c>
      <c r="K135" s="236"/>
      <c r="L135" s="237">
        <f t="shared" si="15"/>
        <v>0.73750000000000004</v>
      </c>
      <c r="M135" s="111"/>
      <c r="N135" s="111"/>
      <c r="O135" s="111"/>
      <c r="P135" s="111"/>
    </row>
    <row r="136" spans="1:16" s="217" customFormat="1" x14ac:dyDescent="0.2">
      <c r="A136" s="215"/>
      <c r="B136" s="216"/>
      <c r="C136" s="106"/>
      <c r="D136" s="120" t="s">
        <v>106</v>
      </c>
      <c r="E136" s="144"/>
      <c r="F136" s="3"/>
      <c r="G136" s="122"/>
      <c r="H136" s="122"/>
      <c r="I136" s="122" t="s">
        <v>556</v>
      </c>
      <c r="J136" s="3"/>
      <c r="K136" s="122"/>
      <c r="L136" s="122"/>
      <c r="M136" s="113"/>
      <c r="N136" s="113"/>
      <c r="O136" s="113"/>
      <c r="P136" s="113"/>
    </row>
    <row r="137" spans="1:16" s="217" customFormat="1" x14ac:dyDescent="0.2">
      <c r="A137" s="215"/>
      <c r="B137" s="216"/>
      <c r="C137" s="114"/>
      <c r="D137" s="258" t="s">
        <v>545</v>
      </c>
      <c r="E137" s="234" t="s">
        <v>0</v>
      </c>
      <c r="F137" s="235">
        <v>1</v>
      </c>
      <c r="G137" s="236">
        <v>2.35</v>
      </c>
      <c r="H137" s="236">
        <v>0.1</v>
      </c>
      <c r="I137" s="236">
        <f>0.2</f>
        <v>0.2</v>
      </c>
      <c r="J137" s="235">
        <v>1</v>
      </c>
      <c r="K137" s="249"/>
      <c r="L137" s="237">
        <f>((I137)+H137)*F137*G137*J137</f>
        <v>0.70500000000000018</v>
      </c>
      <c r="M137" s="111"/>
      <c r="N137" s="111"/>
      <c r="O137" s="111"/>
      <c r="P137" s="111"/>
    </row>
    <row r="138" spans="1:16" s="217" customFormat="1" x14ac:dyDescent="0.2">
      <c r="A138" s="215"/>
      <c r="B138" s="216"/>
      <c r="C138" s="114"/>
      <c r="D138" s="258" t="s">
        <v>546</v>
      </c>
      <c r="E138" s="239" t="s">
        <v>0</v>
      </c>
      <c r="F138" s="235">
        <v>1</v>
      </c>
      <c r="G138" s="236">
        <v>2.35</v>
      </c>
      <c r="H138" s="236">
        <v>0.25</v>
      </c>
      <c r="I138" s="236">
        <v>0.4</v>
      </c>
      <c r="J138" s="235">
        <v>1</v>
      </c>
      <c r="K138" s="236"/>
      <c r="L138" s="237">
        <f t="shared" ref="L138:L141" si="16">((I138)+H138)*F138*G138*J138</f>
        <v>1.5275000000000001</v>
      </c>
      <c r="M138" s="111"/>
      <c r="N138" s="111"/>
      <c r="O138" s="111"/>
      <c r="P138" s="111"/>
    </row>
    <row r="139" spans="1:16" s="217" customFormat="1" x14ac:dyDescent="0.2">
      <c r="A139" s="215"/>
      <c r="B139" s="216"/>
      <c r="C139" s="114"/>
      <c r="D139" s="258" t="s">
        <v>547</v>
      </c>
      <c r="E139" s="239" t="s">
        <v>0</v>
      </c>
      <c r="F139" s="235">
        <v>1</v>
      </c>
      <c r="G139" s="236">
        <v>1</v>
      </c>
      <c r="H139" s="236">
        <v>0.25</v>
      </c>
      <c r="I139" s="236">
        <v>0.4</v>
      </c>
      <c r="J139" s="235">
        <v>1</v>
      </c>
      <c r="K139" s="236"/>
      <c r="L139" s="237">
        <f t="shared" si="16"/>
        <v>0.65</v>
      </c>
      <c r="M139" s="111"/>
      <c r="N139" s="111"/>
      <c r="O139" s="111"/>
      <c r="P139" s="111"/>
    </row>
    <row r="140" spans="1:16" s="217" customFormat="1" x14ac:dyDescent="0.2">
      <c r="A140" s="215"/>
      <c r="B140" s="216"/>
      <c r="C140" s="114"/>
      <c r="D140" s="258"/>
      <c r="E140" s="239" t="s">
        <v>0</v>
      </c>
      <c r="F140" s="235">
        <v>1</v>
      </c>
      <c r="G140" s="236">
        <v>1</v>
      </c>
      <c r="H140" s="236">
        <v>0.1</v>
      </c>
      <c r="I140" s="236">
        <v>0.4</v>
      </c>
      <c r="J140" s="235">
        <v>1</v>
      </c>
      <c r="K140" s="236"/>
      <c r="L140" s="237">
        <f t="shared" si="16"/>
        <v>0.5</v>
      </c>
      <c r="M140" s="111"/>
      <c r="N140" s="111"/>
      <c r="O140" s="111"/>
      <c r="P140" s="111"/>
    </row>
    <row r="141" spans="1:16" s="217" customFormat="1" x14ac:dyDescent="0.2">
      <c r="A141" s="215"/>
      <c r="B141" s="216"/>
      <c r="C141" s="114"/>
      <c r="D141" s="266" t="s">
        <v>548</v>
      </c>
      <c r="E141" s="239" t="s">
        <v>0</v>
      </c>
      <c r="F141" s="235">
        <v>1</v>
      </c>
      <c r="G141" s="236">
        <v>0.6</v>
      </c>
      <c r="H141" s="236">
        <v>0.25</v>
      </c>
      <c r="I141" s="236">
        <v>0.4</v>
      </c>
      <c r="J141" s="235">
        <v>1</v>
      </c>
      <c r="K141" s="236"/>
      <c r="L141" s="237">
        <f t="shared" si="16"/>
        <v>0.39</v>
      </c>
      <c r="M141" s="111"/>
      <c r="N141" s="111"/>
      <c r="O141" s="111"/>
      <c r="P141" s="111"/>
    </row>
    <row r="142" spans="1:16" s="217" customFormat="1" x14ac:dyDescent="0.2">
      <c r="A142" s="215"/>
      <c r="B142" s="216"/>
      <c r="C142" s="114"/>
      <c r="D142" s="258"/>
      <c r="E142" s="239"/>
      <c r="F142" s="235"/>
      <c r="G142" s="236">
        <v>2.85</v>
      </c>
      <c r="H142" s="236">
        <v>0.1</v>
      </c>
      <c r="I142" s="236">
        <v>0.4</v>
      </c>
      <c r="J142" s="235"/>
      <c r="K142" s="236"/>
      <c r="L142" s="237"/>
      <c r="M142" s="111"/>
      <c r="N142" s="111"/>
      <c r="O142" s="111"/>
      <c r="P142" s="111"/>
    </row>
    <row r="143" spans="1:16" s="217" customFormat="1" x14ac:dyDescent="0.2">
      <c r="A143" s="215"/>
      <c r="B143" s="216"/>
      <c r="C143" s="114"/>
      <c r="D143" s="258" t="s">
        <v>549</v>
      </c>
      <c r="E143" s="239" t="s">
        <v>0</v>
      </c>
      <c r="F143" s="235">
        <v>1</v>
      </c>
      <c r="G143" s="236">
        <v>3.35</v>
      </c>
      <c r="H143" s="236">
        <v>0.35</v>
      </c>
      <c r="I143" s="236"/>
      <c r="J143" s="235">
        <v>1</v>
      </c>
      <c r="K143" s="236"/>
      <c r="L143" s="237">
        <f t="shared" ref="L143:L149" si="17">((I143)+H143)*F143*G143*J143</f>
        <v>1.1724999999999999</v>
      </c>
      <c r="M143" s="111"/>
      <c r="N143" s="111"/>
      <c r="O143" s="111"/>
      <c r="P143" s="111"/>
    </row>
    <row r="144" spans="1:16" s="217" customFormat="1" x14ac:dyDescent="0.2">
      <c r="A144" s="215"/>
      <c r="B144" s="216"/>
      <c r="C144" s="114"/>
      <c r="D144" s="258" t="s">
        <v>550</v>
      </c>
      <c r="E144" s="239" t="s">
        <v>0</v>
      </c>
      <c r="F144" s="235">
        <v>1</v>
      </c>
      <c r="G144" s="236">
        <v>2.82</v>
      </c>
      <c r="H144" s="236"/>
      <c r="I144" s="236">
        <v>0.2</v>
      </c>
      <c r="J144" s="235">
        <v>1</v>
      </c>
      <c r="K144" s="236"/>
      <c r="L144" s="237">
        <f t="shared" si="17"/>
        <v>0.56399999999999995</v>
      </c>
      <c r="M144" s="111"/>
      <c r="N144" s="111"/>
      <c r="O144" s="111"/>
      <c r="P144" s="111"/>
    </row>
    <row r="145" spans="1:16" s="217" customFormat="1" x14ac:dyDescent="0.2">
      <c r="A145" s="215"/>
      <c r="B145" s="216"/>
      <c r="C145" s="114"/>
      <c r="D145" s="258" t="s">
        <v>551</v>
      </c>
      <c r="E145" s="239" t="s">
        <v>0</v>
      </c>
      <c r="F145" s="235">
        <v>1</v>
      </c>
      <c r="G145" s="236">
        <v>1.9</v>
      </c>
      <c r="H145" s="236"/>
      <c r="I145" s="236">
        <v>0.2</v>
      </c>
      <c r="J145" s="235">
        <v>1</v>
      </c>
      <c r="K145" s="236"/>
      <c r="L145" s="237">
        <f t="shared" si="17"/>
        <v>0.38</v>
      </c>
      <c r="M145" s="111"/>
      <c r="N145" s="111"/>
      <c r="O145" s="111"/>
      <c r="P145" s="111"/>
    </row>
    <row r="146" spans="1:16" s="217" customFormat="1" x14ac:dyDescent="0.2">
      <c r="A146" s="215"/>
      <c r="B146" s="216"/>
      <c r="C146" s="114"/>
      <c r="D146" s="258" t="s">
        <v>552</v>
      </c>
      <c r="E146" s="239" t="s">
        <v>0</v>
      </c>
      <c r="F146" s="235">
        <v>1</v>
      </c>
      <c r="G146" s="236">
        <v>2.95</v>
      </c>
      <c r="H146" s="236">
        <v>0.25</v>
      </c>
      <c r="I146" s="236"/>
      <c r="J146" s="235">
        <v>1</v>
      </c>
      <c r="K146" s="236"/>
      <c r="L146" s="237">
        <f t="shared" si="17"/>
        <v>0.73750000000000004</v>
      </c>
      <c r="M146" s="111"/>
      <c r="N146" s="111"/>
      <c r="O146" s="111"/>
      <c r="P146" s="111"/>
    </row>
    <row r="147" spans="1:16" s="217" customFormat="1" x14ac:dyDescent="0.2">
      <c r="A147" s="215"/>
      <c r="B147" s="216"/>
      <c r="C147" s="114"/>
      <c r="D147" s="258" t="s">
        <v>553</v>
      </c>
      <c r="E147" s="239" t="s">
        <v>0</v>
      </c>
      <c r="F147" s="235">
        <v>1</v>
      </c>
      <c r="G147" s="236">
        <v>2.82</v>
      </c>
      <c r="H147" s="236"/>
      <c r="I147" s="236">
        <v>0.2</v>
      </c>
      <c r="J147" s="235">
        <v>1</v>
      </c>
      <c r="K147" s="236"/>
      <c r="L147" s="237">
        <f t="shared" si="17"/>
        <v>0.56399999999999995</v>
      </c>
      <c r="M147" s="111"/>
      <c r="N147" s="111"/>
      <c r="O147" s="111"/>
      <c r="P147" s="111"/>
    </row>
    <row r="148" spans="1:16" s="217" customFormat="1" x14ac:dyDescent="0.2">
      <c r="A148" s="215"/>
      <c r="B148" s="216"/>
      <c r="C148" s="114"/>
      <c r="D148" s="258" t="s">
        <v>554</v>
      </c>
      <c r="E148" s="239" t="s">
        <v>0</v>
      </c>
      <c r="F148" s="235">
        <v>1</v>
      </c>
      <c r="G148" s="236">
        <v>1.9</v>
      </c>
      <c r="H148" s="236"/>
      <c r="I148" s="236">
        <v>0.2</v>
      </c>
      <c r="J148" s="235">
        <v>1</v>
      </c>
      <c r="K148" s="236"/>
      <c r="L148" s="237">
        <f t="shared" si="17"/>
        <v>0.38</v>
      </c>
      <c r="M148" s="111"/>
      <c r="N148" s="111"/>
      <c r="O148" s="111"/>
      <c r="P148" s="111"/>
    </row>
    <row r="149" spans="1:16" s="217" customFormat="1" x14ac:dyDescent="0.2">
      <c r="A149" s="215"/>
      <c r="B149" s="216"/>
      <c r="C149" s="114"/>
      <c r="D149" s="258" t="s">
        <v>555</v>
      </c>
      <c r="E149" s="239" t="s">
        <v>0</v>
      </c>
      <c r="F149" s="235">
        <v>1</v>
      </c>
      <c r="G149" s="236">
        <v>2.95</v>
      </c>
      <c r="H149" s="236">
        <v>0.25</v>
      </c>
      <c r="I149" s="236"/>
      <c r="J149" s="235">
        <v>1</v>
      </c>
      <c r="K149" s="236"/>
      <c r="L149" s="237">
        <f t="shared" si="17"/>
        <v>0.73750000000000004</v>
      </c>
      <c r="M149" s="111"/>
      <c r="N149" s="111"/>
      <c r="O149" s="111"/>
      <c r="P149" s="111"/>
    </row>
    <row r="150" spans="1:16" s="217" customFormat="1" ht="14.4" x14ac:dyDescent="0.3">
      <c r="A150" s="215"/>
      <c r="B150" s="216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217" customFormat="1" x14ac:dyDescent="0.2">
      <c r="A151" s="215"/>
      <c r="B151" s="216"/>
      <c r="C151" s="99" t="s">
        <v>1184</v>
      </c>
      <c r="D151" s="100" t="s">
        <v>420</v>
      </c>
      <c r="E151" s="101" t="s">
        <v>0</v>
      </c>
      <c r="F151" s="1"/>
      <c r="G151" s="2"/>
      <c r="H151" s="2"/>
      <c r="I151" s="2"/>
      <c r="J151" s="3"/>
      <c r="K151" s="122"/>
      <c r="L151" s="122"/>
      <c r="M151" s="103"/>
      <c r="N151" s="103"/>
      <c r="O151" s="103"/>
      <c r="P151" s="103">
        <f>SUM(L151:L170)</f>
        <v>9.36</v>
      </c>
    </row>
    <row r="152" spans="1:16" s="217" customFormat="1" x14ac:dyDescent="0.2">
      <c r="A152" s="215"/>
      <c r="B152" s="216"/>
      <c r="C152" s="106"/>
      <c r="D152" s="267" t="s">
        <v>127</v>
      </c>
      <c r="E152" s="262"/>
      <c r="F152" s="229"/>
      <c r="G152" s="230"/>
      <c r="H152" s="230"/>
      <c r="I152" s="230"/>
      <c r="J152" s="229"/>
      <c r="K152" s="230"/>
      <c r="L152" s="230"/>
      <c r="M152" s="113"/>
      <c r="N152" s="113"/>
      <c r="O152" s="113"/>
      <c r="P152" s="113"/>
    </row>
    <row r="153" spans="1:16" s="217" customFormat="1" x14ac:dyDescent="0.2">
      <c r="A153" s="215"/>
      <c r="B153" s="216"/>
      <c r="C153" s="118"/>
      <c r="D153" s="259" t="s">
        <v>266</v>
      </c>
      <c r="E153" s="260"/>
      <c r="F153" s="255"/>
      <c r="G153" s="256"/>
      <c r="H153" s="256"/>
      <c r="I153" s="256"/>
      <c r="J153" s="229"/>
      <c r="K153" s="230"/>
      <c r="L153" s="230"/>
      <c r="M153" s="113"/>
      <c r="N153" s="113"/>
      <c r="O153" s="113"/>
      <c r="P153" s="113"/>
    </row>
    <row r="154" spans="1:16" s="217" customFormat="1" x14ac:dyDescent="0.2">
      <c r="A154" s="215"/>
      <c r="B154" s="216"/>
      <c r="C154" s="114"/>
      <c r="D154" s="258" t="s">
        <v>140</v>
      </c>
      <c r="E154" s="239" t="s">
        <v>0</v>
      </c>
      <c r="F154" s="235">
        <v>1</v>
      </c>
      <c r="G154" s="236">
        <v>0.15</v>
      </c>
      <c r="H154" s="236">
        <v>2.35</v>
      </c>
      <c r="I154" s="236">
        <v>0.75</v>
      </c>
      <c r="J154" s="235">
        <v>1</v>
      </c>
      <c r="K154" s="236"/>
      <c r="L154" s="237">
        <f>((H154+I154)*2)*F154*G154*J154</f>
        <v>0.92999999999999994</v>
      </c>
      <c r="M154" s="111"/>
      <c r="N154" s="111"/>
      <c r="O154" s="111"/>
      <c r="P154" s="111"/>
    </row>
    <row r="155" spans="1:16" s="217" customFormat="1" x14ac:dyDescent="0.2">
      <c r="A155" s="215"/>
      <c r="B155" s="216"/>
      <c r="C155" s="118"/>
      <c r="D155" s="259" t="s">
        <v>129</v>
      </c>
      <c r="E155" s="260"/>
      <c r="F155" s="255"/>
      <c r="G155" s="256"/>
      <c r="H155" s="256"/>
      <c r="I155" s="256"/>
      <c r="J155" s="229"/>
      <c r="K155" s="230"/>
      <c r="L155" s="230"/>
      <c r="M155" s="113"/>
      <c r="N155" s="113"/>
      <c r="O155" s="113"/>
      <c r="P155" s="113"/>
    </row>
    <row r="156" spans="1:16" s="217" customFormat="1" x14ac:dyDescent="0.2">
      <c r="A156" s="215"/>
      <c r="B156" s="216"/>
      <c r="C156" s="114"/>
      <c r="D156" s="258" t="s">
        <v>130</v>
      </c>
      <c r="E156" s="239" t="s">
        <v>0</v>
      </c>
      <c r="F156" s="235">
        <v>1</v>
      </c>
      <c r="G156" s="236">
        <v>0.15</v>
      </c>
      <c r="H156" s="236">
        <v>1</v>
      </c>
      <c r="I156" s="236">
        <v>2.85</v>
      </c>
      <c r="J156" s="235">
        <v>1</v>
      </c>
      <c r="K156" s="236"/>
      <c r="L156" s="237">
        <f>((H156+I156)*2)*F156*G156*J156</f>
        <v>1.155</v>
      </c>
      <c r="M156" s="111"/>
      <c r="N156" s="111"/>
      <c r="O156" s="111"/>
      <c r="P156" s="111"/>
    </row>
    <row r="157" spans="1:16" s="217" customFormat="1" x14ac:dyDescent="0.2">
      <c r="A157" s="215"/>
      <c r="B157" s="216"/>
      <c r="C157" s="114"/>
      <c r="D157" s="258" t="s">
        <v>557</v>
      </c>
      <c r="E157" s="239" t="s">
        <v>0</v>
      </c>
      <c r="F157" s="235">
        <v>1</v>
      </c>
      <c r="G157" s="236">
        <v>0.15</v>
      </c>
      <c r="H157" s="236">
        <v>0.6</v>
      </c>
      <c r="I157" s="236">
        <v>2.85</v>
      </c>
      <c r="J157" s="235">
        <v>1</v>
      </c>
      <c r="K157" s="236"/>
      <c r="L157" s="237">
        <f>((H157+I157)*2)*F157*G157*J157</f>
        <v>1.0349999999999999</v>
      </c>
      <c r="M157" s="111"/>
      <c r="N157" s="111"/>
      <c r="O157" s="111"/>
      <c r="P157" s="111"/>
    </row>
    <row r="158" spans="1:16" s="217" customFormat="1" x14ac:dyDescent="0.2">
      <c r="A158" s="215"/>
      <c r="B158" s="216"/>
      <c r="C158" s="106"/>
      <c r="D158" s="267" t="s">
        <v>68</v>
      </c>
      <c r="E158" s="262"/>
      <c r="F158" s="229"/>
      <c r="G158" s="230"/>
      <c r="H158" s="230"/>
      <c r="I158" s="230"/>
      <c r="J158" s="229"/>
      <c r="K158" s="230"/>
      <c r="L158" s="230"/>
      <c r="M158" s="113"/>
      <c r="N158" s="113"/>
      <c r="O158" s="113"/>
      <c r="P158" s="113"/>
    </row>
    <row r="159" spans="1:16" s="217" customFormat="1" x14ac:dyDescent="0.2">
      <c r="A159" s="215"/>
      <c r="B159" s="216"/>
      <c r="C159" s="118"/>
      <c r="D159" s="259" t="s">
        <v>266</v>
      </c>
      <c r="E159" s="260"/>
      <c r="F159" s="255"/>
      <c r="G159" s="256"/>
      <c r="H159" s="256"/>
      <c r="I159" s="256"/>
      <c r="J159" s="229"/>
      <c r="K159" s="230"/>
      <c r="L159" s="230"/>
      <c r="M159" s="113"/>
      <c r="N159" s="113"/>
      <c r="O159" s="113"/>
      <c r="P159" s="113"/>
    </row>
    <row r="160" spans="1:16" s="217" customFormat="1" x14ac:dyDescent="0.2">
      <c r="A160" s="215"/>
      <c r="B160" s="216"/>
      <c r="C160" s="114"/>
      <c r="D160" s="258" t="s">
        <v>140</v>
      </c>
      <c r="E160" s="239" t="s">
        <v>0</v>
      </c>
      <c r="F160" s="235">
        <v>1</v>
      </c>
      <c r="G160" s="236">
        <v>0.15</v>
      </c>
      <c r="H160" s="236">
        <v>2.35</v>
      </c>
      <c r="I160" s="236">
        <v>0.75</v>
      </c>
      <c r="J160" s="235">
        <v>1</v>
      </c>
      <c r="K160" s="236"/>
      <c r="L160" s="237">
        <f>((H160+I160)*2)*F160*G160*J160</f>
        <v>0.92999999999999994</v>
      </c>
      <c r="M160" s="111"/>
      <c r="N160" s="111"/>
      <c r="O160" s="111"/>
      <c r="P160" s="111"/>
    </row>
    <row r="161" spans="1:16" s="217" customFormat="1" x14ac:dyDescent="0.2">
      <c r="A161" s="215"/>
      <c r="B161" s="216"/>
      <c r="C161" s="118"/>
      <c r="D161" s="259" t="s">
        <v>129</v>
      </c>
      <c r="E161" s="260"/>
      <c r="F161" s="255"/>
      <c r="G161" s="256"/>
      <c r="H161" s="256"/>
      <c r="I161" s="256"/>
      <c r="J161" s="229"/>
      <c r="K161" s="230"/>
      <c r="L161" s="230"/>
      <c r="M161" s="113"/>
      <c r="N161" s="113"/>
      <c r="O161" s="113"/>
      <c r="P161" s="113"/>
    </row>
    <row r="162" spans="1:16" s="217" customFormat="1" x14ac:dyDescent="0.2">
      <c r="A162" s="215"/>
      <c r="B162" s="216"/>
      <c r="C162" s="114"/>
      <c r="D162" s="258" t="s">
        <v>130</v>
      </c>
      <c r="E162" s="239" t="s">
        <v>0</v>
      </c>
      <c r="F162" s="235">
        <v>1</v>
      </c>
      <c r="G162" s="236">
        <v>0.15</v>
      </c>
      <c r="H162" s="236">
        <v>1</v>
      </c>
      <c r="I162" s="236">
        <v>2.85</v>
      </c>
      <c r="J162" s="235">
        <v>1</v>
      </c>
      <c r="K162" s="236"/>
      <c r="L162" s="237">
        <f>((H162+I162)*2)*F162*G162*J162</f>
        <v>1.155</v>
      </c>
      <c r="M162" s="111"/>
      <c r="N162" s="111"/>
      <c r="O162" s="111"/>
      <c r="P162" s="111"/>
    </row>
    <row r="163" spans="1:16" s="217" customFormat="1" x14ac:dyDescent="0.2">
      <c r="A163" s="215"/>
      <c r="B163" s="216"/>
      <c r="C163" s="114"/>
      <c r="D163" s="258" t="s">
        <v>557</v>
      </c>
      <c r="E163" s="239" t="s">
        <v>0</v>
      </c>
      <c r="F163" s="235">
        <v>1</v>
      </c>
      <c r="G163" s="236">
        <v>0.15</v>
      </c>
      <c r="H163" s="236">
        <v>0.6</v>
      </c>
      <c r="I163" s="236">
        <v>2.85</v>
      </c>
      <c r="J163" s="235">
        <v>1</v>
      </c>
      <c r="K163" s="236"/>
      <c r="L163" s="237">
        <f>((H163+I163)*2)*F163*G163*J163</f>
        <v>1.0349999999999999</v>
      </c>
      <c r="M163" s="111"/>
      <c r="N163" s="111"/>
      <c r="O163" s="111"/>
      <c r="P163" s="111"/>
    </row>
    <row r="164" spans="1:16" s="217" customFormat="1" x14ac:dyDescent="0.2">
      <c r="A164" s="215"/>
      <c r="B164" s="216"/>
      <c r="C164" s="106"/>
      <c r="D164" s="267" t="s">
        <v>106</v>
      </c>
      <c r="E164" s="262"/>
      <c r="F164" s="229"/>
      <c r="G164" s="230"/>
      <c r="H164" s="230"/>
      <c r="I164" s="230"/>
      <c r="J164" s="229"/>
      <c r="K164" s="230"/>
      <c r="L164" s="230"/>
      <c r="M164" s="113"/>
      <c r="N164" s="113"/>
      <c r="O164" s="113"/>
      <c r="P164" s="113"/>
    </row>
    <row r="165" spans="1:16" s="217" customFormat="1" x14ac:dyDescent="0.2">
      <c r="A165" s="215"/>
      <c r="B165" s="216"/>
      <c r="C165" s="118"/>
      <c r="D165" s="259" t="s">
        <v>266</v>
      </c>
      <c r="E165" s="260"/>
      <c r="F165" s="255"/>
      <c r="G165" s="256"/>
      <c r="H165" s="256"/>
      <c r="I165" s="256"/>
      <c r="J165" s="229"/>
      <c r="K165" s="230"/>
      <c r="L165" s="230"/>
      <c r="M165" s="113"/>
      <c r="N165" s="113"/>
      <c r="O165" s="113"/>
      <c r="P165" s="113"/>
    </row>
    <row r="166" spans="1:16" s="217" customFormat="1" x14ac:dyDescent="0.2">
      <c r="A166" s="215"/>
      <c r="B166" s="216"/>
      <c r="C166" s="114"/>
      <c r="D166" s="258" t="s">
        <v>140</v>
      </c>
      <c r="E166" s="239" t="s">
        <v>0</v>
      </c>
      <c r="F166" s="235">
        <v>1</v>
      </c>
      <c r="G166" s="236">
        <v>0.15</v>
      </c>
      <c r="H166" s="236">
        <v>2.35</v>
      </c>
      <c r="I166" s="236">
        <v>0.75</v>
      </c>
      <c r="J166" s="235">
        <v>1</v>
      </c>
      <c r="K166" s="236"/>
      <c r="L166" s="237">
        <f>((H166+I166)*2)*F166*G166*J166</f>
        <v>0.92999999999999994</v>
      </c>
      <c r="M166" s="111"/>
      <c r="N166" s="111"/>
      <c r="O166" s="111"/>
      <c r="P166" s="111"/>
    </row>
    <row r="167" spans="1:16" s="217" customFormat="1" x14ac:dyDescent="0.2">
      <c r="A167" s="215"/>
      <c r="B167" s="216"/>
      <c r="C167" s="118"/>
      <c r="D167" s="259" t="s">
        <v>129</v>
      </c>
      <c r="E167" s="260"/>
      <c r="F167" s="255"/>
      <c r="G167" s="256"/>
      <c r="H167" s="256"/>
      <c r="I167" s="256"/>
      <c r="J167" s="229"/>
      <c r="K167" s="230"/>
      <c r="L167" s="230"/>
      <c r="M167" s="113"/>
      <c r="N167" s="113"/>
      <c r="O167" s="113"/>
      <c r="P167" s="113"/>
    </row>
    <row r="168" spans="1:16" s="170" customFormat="1" x14ac:dyDescent="0.3">
      <c r="A168" s="170">
        <v>3</v>
      </c>
      <c r="C168" s="114"/>
      <c r="D168" s="258" t="s">
        <v>130</v>
      </c>
      <c r="E168" s="239" t="s">
        <v>0</v>
      </c>
      <c r="F168" s="235">
        <v>1</v>
      </c>
      <c r="G168" s="236">
        <v>0.15</v>
      </c>
      <c r="H168" s="236">
        <v>1</v>
      </c>
      <c r="I168" s="236">
        <v>2.85</v>
      </c>
      <c r="J168" s="235">
        <v>1</v>
      </c>
      <c r="K168" s="236"/>
      <c r="L168" s="237">
        <f>((H168+I168)*2)*F168*G168*J168</f>
        <v>1.155</v>
      </c>
      <c r="M168" s="111"/>
      <c r="N168" s="111"/>
      <c r="O168" s="111"/>
      <c r="P168" s="111"/>
    </row>
    <row r="169" spans="1:16" s="170" customFormat="1" x14ac:dyDescent="0.3">
      <c r="C169" s="114"/>
      <c r="D169" s="258" t="s">
        <v>557</v>
      </c>
      <c r="E169" s="239" t="s">
        <v>0</v>
      </c>
      <c r="F169" s="235">
        <v>1</v>
      </c>
      <c r="G169" s="236">
        <v>0.15</v>
      </c>
      <c r="H169" s="236">
        <v>0.6</v>
      </c>
      <c r="I169" s="236">
        <v>2.85</v>
      </c>
      <c r="J169" s="235">
        <v>1</v>
      </c>
      <c r="K169" s="236"/>
      <c r="L169" s="237">
        <f>((H169+I169)*2)*F169*G169*J169</f>
        <v>1.0349999999999999</v>
      </c>
      <c r="M169" s="111"/>
      <c r="N169" s="111"/>
      <c r="O169" s="111"/>
      <c r="P169" s="111"/>
    </row>
    <row r="170" spans="1:16" s="170" customFormat="1" ht="14.4" x14ac:dyDescent="0.3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170" customFormat="1" x14ac:dyDescent="0.3">
      <c r="C171" s="99" t="s">
        <v>1185</v>
      </c>
      <c r="D171" s="100" t="s">
        <v>159</v>
      </c>
      <c r="E171" s="101" t="s">
        <v>0</v>
      </c>
      <c r="F171" s="1"/>
      <c r="G171" s="2"/>
      <c r="H171" s="2"/>
      <c r="I171" s="2"/>
      <c r="J171" s="3"/>
      <c r="K171" s="122"/>
      <c r="L171" s="122"/>
      <c r="M171" s="103"/>
      <c r="N171" s="103"/>
      <c r="O171" s="103"/>
      <c r="P171" s="103">
        <f>SUM(L171:L193)</f>
        <v>96.120000000000019</v>
      </c>
    </row>
    <row r="172" spans="1:16" s="170" customFormat="1" x14ac:dyDescent="0.3">
      <c r="C172" s="106"/>
      <c r="D172" s="267" t="s">
        <v>127</v>
      </c>
      <c r="E172" s="228"/>
      <c r="F172" s="229"/>
      <c r="G172" s="230"/>
      <c r="H172" s="230"/>
      <c r="I172" s="230"/>
      <c r="J172" s="229"/>
      <c r="K172" s="230"/>
      <c r="L172" s="230"/>
      <c r="M172" s="113"/>
      <c r="N172" s="113"/>
      <c r="O172" s="113"/>
      <c r="P172" s="113"/>
    </row>
    <row r="173" spans="1:16" s="170" customFormat="1" x14ac:dyDescent="0.3">
      <c r="C173" s="114"/>
      <c r="D173" s="258" t="s">
        <v>278</v>
      </c>
      <c r="E173" s="234" t="s">
        <v>0</v>
      </c>
      <c r="F173" s="235">
        <v>1</v>
      </c>
      <c r="G173" s="236" t="s">
        <v>156</v>
      </c>
      <c r="H173" s="236">
        <v>10.47</v>
      </c>
      <c r="I173" s="236"/>
      <c r="J173" s="235">
        <v>1</v>
      </c>
      <c r="K173" s="236"/>
      <c r="L173" s="236">
        <f>PRODUCT(F173:J173)</f>
        <v>10.47</v>
      </c>
      <c r="M173" s="111"/>
      <c r="N173" s="111"/>
      <c r="O173" s="111"/>
      <c r="P173" s="111"/>
    </row>
    <row r="174" spans="1:16" s="170" customFormat="1" x14ac:dyDescent="0.3">
      <c r="C174" s="114"/>
      <c r="D174" s="258" t="s">
        <v>558</v>
      </c>
      <c r="E174" s="234" t="s">
        <v>0</v>
      </c>
      <c r="F174" s="235">
        <v>1</v>
      </c>
      <c r="G174" s="236" t="s">
        <v>156</v>
      </c>
      <c r="H174" s="236">
        <v>1.67</v>
      </c>
      <c r="I174" s="236"/>
      <c r="J174" s="235">
        <v>1</v>
      </c>
      <c r="K174" s="236"/>
      <c r="L174" s="236">
        <f>PRODUCT(F174:J174)</f>
        <v>1.67</v>
      </c>
      <c r="M174" s="111"/>
      <c r="N174" s="111"/>
      <c r="O174" s="111"/>
      <c r="P174" s="111"/>
    </row>
    <row r="175" spans="1:16" s="170" customFormat="1" x14ac:dyDescent="0.3">
      <c r="C175" s="114"/>
      <c r="D175" s="258" t="s">
        <v>194</v>
      </c>
      <c r="E175" s="234" t="s">
        <v>0</v>
      </c>
      <c r="F175" s="235">
        <v>1</v>
      </c>
      <c r="G175" s="236" t="s">
        <v>156</v>
      </c>
      <c r="H175" s="236">
        <v>0.68</v>
      </c>
      <c r="I175" s="236"/>
      <c r="J175" s="235">
        <v>1</v>
      </c>
      <c r="K175" s="236"/>
      <c r="L175" s="236">
        <f>PRODUCT(F175:J175)</f>
        <v>0.68</v>
      </c>
      <c r="M175" s="111"/>
      <c r="N175" s="111"/>
      <c r="O175" s="111"/>
      <c r="P175" s="111"/>
    </row>
    <row r="176" spans="1:16" s="170" customFormat="1" x14ac:dyDescent="0.3">
      <c r="C176" s="114"/>
      <c r="D176" s="258"/>
      <c r="E176" s="234" t="s">
        <v>0</v>
      </c>
      <c r="F176" s="235">
        <v>1</v>
      </c>
      <c r="G176" s="236" t="s">
        <v>156</v>
      </c>
      <c r="H176" s="236">
        <v>6.74</v>
      </c>
      <c r="I176" s="236"/>
      <c r="J176" s="235">
        <v>1</v>
      </c>
      <c r="K176" s="236"/>
      <c r="L176" s="236">
        <f t="shared" ref="L176:L177" si="18">PRODUCT(F176:J176)</f>
        <v>6.74</v>
      </c>
      <c r="M176" s="111"/>
      <c r="N176" s="111"/>
      <c r="O176" s="111"/>
      <c r="P176" s="111"/>
    </row>
    <row r="177" spans="3:16" s="170" customFormat="1" x14ac:dyDescent="0.3">
      <c r="C177" s="114"/>
      <c r="D177" s="258"/>
      <c r="E177" s="234" t="s">
        <v>0</v>
      </c>
      <c r="F177" s="235">
        <v>1</v>
      </c>
      <c r="G177" s="236" t="s">
        <v>156</v>
      </c>
      <c r="H177" s="236">
        <v>12.48</v>
      </c>
      <c r="I177" s="236"/>
      <c r="J177" s="235">
        <v>1</v>
      </c>
      <c r="K177" s="236"/>
      <c r="L177" s="236">
        <f t="shared" si="18"/>
        <v>12.48</v>
      </c>
      <c r="M177" s="111"/>
      <c r="N177" s="111"/>
      <c r="O177" s="111"/>
      <c r="P177" s="111"/>
    </row>
    <row r="178" spans="3:16" s="170" customFormat="1" x14ac:dyDescent="0.3">
      <c r="C178" s="106"/>
      <c r="D178" s="267"/>
      <c r="E178" s="228"/>
      <c r="F178" s="229"/>
      <c r="G178" s="230"/>
      <c r="H178" s="230"/>
      <c r="I178" s="230"/>
      <c r="J178" s="229"/>
      <c r="K178" s="230"/>
      <c r="L178" s="230"/>
      <c r="M178" s="113"/>
      <c r="N178" s="113"/>
      <c r="O178" s="113"/>
      <c r="P178" s="113"/>
    </row>
    <row r="179" spans="3:16" s="170" customFormat="1" x14ac:dyDescent="0.3">
      <c r="C179" s="106"/>
      <c r="D179" s="267" t="s">
        <v>68</v>
      </c>
      <c r="E179" s="228"/>
      <c r="F179" s="229"/>
      <c r="G179" s="230"/>
      <c r="H179" s="230"/>
      <c r="I179" s="230"/>
      <c r="J179" s="229"/>
      <c r="K179" s="230"/>
      <c r="L179" s="230"/>
      <c r="M179" s="113"/>
      <c r="N179" s="113"/>
      <c r="O179" s="113"/>
      <c r="P179" s="113"/>
    </row>
    <row r="180" spans="3:16" s="170" customFormat="1" x14ac:dyDescent="0.3">
      <c r="C180" s="114"/>
      <c r="D180" s="258" t="s">
        <v>278</v>
      </c>
      <c r="E180" s="234" t="s">
        <v>0</v>
      </c>
      <c r="F180" s="235">
        <v>1</v>
      </c>
      <c r="G180" s="236" t="s">
        <v>156</v>
      </c>
      <c r="H180" s="236">
        <v>10.47</v>
      </c>
      <c r="I180" s="236"/>
      <c r="J180" s="235">
        <v>1</v>
      </c>
      <c r="K180" s="236"/>
      <c r="L180" s="236">
        <f>PRODUCT(F180:J180)</f>
        <v>10.47</v>
      </c>
      <c r="M180" s="111"/>
      <c r="N180" s="111"/>
      <c r="O180" s="111"/>
      <c r="P180" s="111"/>
    </row>
    <row r="181" spans="3:16" s="170" customFormat="1" x14ac:dyDescent="0.3">
      <c r="C181" s="114"/>
      <c r="D181" s="258" t="s">
        <v>558</v>
      </c>
      <c r="E181" s="234" t="s">
        <v>0</v>
      </c>
      <c r="F181" s="235">
        <v>1</v>
      </c>
      <c r="G181" s="236" t="s">
        <v>156</v>
      </c>
      <c r="H181" s="236">
        <v>1.67</v>
      </c>
      <c r="I181" s="236"/>
      <c r="J181" s="235">
        <v>1</v>
      </c>
      <c r="K181" s="236"/>
      <c r="L181" s="236">
        <f>PRODUCT(F181:J181)</f>
        <v>1.67</v>
      </c>
      <c r="M181" s="111"/>
      <c r="N181" s="111"/>
      <c r="O181" s="111"/>
      <c r="P181" s="111"/>
    </row>
    <row r="182" spans="3:16" s="170" customFormat="1" x14ac:dyDescent="0.3">
      <c r="C182" s="114"/>
      <c r="D182" s="258" t="s">
        <v>194</v>
      </c>
      <c r="E182" s="234" t="s">
        <v>0</v>
      </c>
      <c r="F182" s="235">
        <v>1</v>
      </c>
      <c r="G182" s="236" t="s">
        <v>156</v>
      </c>
      <c r="H182" s="236">
        <v>0.68</v>
      </c>
      <c r="I182" s="236"/>
      <c r="J182" s="235">
        <v>1</v>
      </c>
      <c r="K182" s="236"/>
      <c r="L182" s="236">
        <f>PRODUCT(F182:J182)</f>
        <v>0.68</v>
      </c>
      <c r="M182" s="111"/>
      <c r="N182" s="111"/>
      <c r="O182" s="111"/>
      <c r="P182" s="111"/>
    </row>
    <row r="183" spans="3:16" s="170" customFormat="1" x14ac:dyDescent="0.3">
      <c r="C183" s="114"/>
      <c r="D183" s="258"/>
      <c r="E183" s="234" t="s">
        <v>0</v>
      </c>
      <c r="F183" s="235">
        <v>1</v>
      </c>
      <c r="G183" s="236" t="s">
        <v>156</v>
      </c>
      <c r="H183" s="236">
        <v>6.74</v>
      </c>
      <c r="I183" s="236"/>
      <c r="J183" s="235">
        <v>1</v>
      </c>
      <c r="K183" s="236"/>
      <c r="L183" s="236">
        <f t="shared" ref="L183:L184" si="19">PRODUCT(F183:J183)</f>
        <v>6.74</v>
      </c>
      <c r="M183" s="111"/>
      <c r="N183" s="111"/>
      <c r="O183" s="111"/>
      <c r="P183" s="111"/>
    </row>
    <row r="184" spans="3:16" s="170" customFormat="1" x14ac:dyDescent="0.3">
      <c r="C184" s="114"/>
      <c r="D184" s="258"/>
      <c r="E184" s="234" t="s">
        <v>0</v>
      </c>
      <c r="F184" s="235">
        <v>1</v>
      </c>
      <c r="G184" s="236" t="s">
        <v>156</v>
      </c>
      <c r="H184" s="236">
        <v>12.48</v>
      </c>
      <c r="I184" s="236"/>
      <c r="J184" s="235">
        <v>1</v>
      </c>
      <c r="K184" s="236"/>
      <c r="L184" s="236">
        <f t="shared" si="19"/>
        <v>12.48</v>
      </c>
      <c r="M184" s="111"/>
      <c r="N184" s="111"/>
      <c r="O184" s="111"/>
      <c r="P184" s="111"/>
    </row>
    <row r="185" spans="3:16" s="170" customFormat="1" x14ac:dyDescent="0.3">
      <c r="C185" s="106"/>
      <c r="D185" s="267"/>
      <c r="E185" s="228"/>
      <c r="F185" s="229"/>
      <c r="G185" s="230"/>
      <c r="H185" s="230"/>
      <c r="I185" s="230"/>
      <c r="J185" s="229"/>
      <c r="K185" s="230"/>
      <c r="L185" s="230"/>
      <c r="M185" s="113"/>
      <c r="N185" s="113"/>
      <c r="O185" s="113"/>
      <c r="P185" s="113"/>
    </row>
    <row r="186" spans="3:16" s="170" customFormat="1" x14ac:dyDescent="0.3">
      <c r="C186" s="106"/>
      <c r="D186" s="267" t="s">
        <v>106</v>
      </c>
      <c r="E186" s="228"/>
      <c r="F186" s="229"/>
      <c r="G186" s="230"/>
      <c r="H186" s="230"/>
      <c r="I186" s="230"/>
      <c r="J186" s="229"/>
      <c r="K186" s="230"/>
      <c r="L186" s="230"/>
      <c r="M186" s="113"/>
      <c r="N186" s="113"/>
      <c r="O186" s="113"/>
      <c r="P186" s="113"/>
    </row>
    <row r="187" spans="3:16" s="170" customFormat="1" x14ac:dyDescent="0.3">
      <c r="C187" s="114"/>
      <c r="D187" s="258" t="s">
        <v>278</v>
      </c>
      <c r="E187" s="234" t="s">
        <v>0</v>
      </c>
      <c r="F187" s="235">
        <v>1</v>
      </c>
      <c r="G187" s="236" t="s">
        <v>156</v>
      </c>
      <c r="H187" s="236">
        <v>10.47</v>
      </c>
      <c r="I187" s="236"/>
      <c r="J187" s="235">
        <v>1</v>
      </c>
      <c r="K187" s="236"/>
      <c r="L187" s="236">
        <f>PRODUCT(F187:J187)</f>
        <v>10.47</v>
      </c>
      <c r="M187" s="111"/>
      <c r="N187" s="111"/>
      <c r="O187" s="111"/>
      <c r="P187" s="111"/>
    </row>
    <row r="188" spans="3:16" s="170" customFormat="1" x14ac:dyDescent="0.3">
      <c r="C188" s="114"/>
      <c r="D188" s="258" t="s">
        <v>558</v>
      </c>
      <c r="E188" s="234" t="s">
        <v>0</v>
      </c>
      <c r="F188" s="235">
        <v>1</v>
      </c>
      <c r="G188" s="236" t="s">
        <v>156</v>
      </c>
      <c r="H188" s="236">
        <v>1.67</v>
      </c>
      <c r="I188" s="236"/>
      <c r="J188" s="235">
        <v>1</v>
      </c>
      <c r="K188" s="236"/>
      <c r="L188" s="236">
        <f>PRODUCT(F188:J188)</f>
        <v>1.67</v>
      </c>
      <c r="M188" s="111"/>
      <c r="N188" s="111"/>
      <c r="O188" s="111"/>
      <c r="P188" s="111"/>
    </row>
    <row r="189" spans="3:16" s="170" customFormat="1" x14ac:dyDescent="0.3">
      <c r="C189" s="114"/>
      <c r="D189" s="258" t="s">
        <v>194</v>
      </c>
      <c r="E189" s="234" t="s">
        <v>0</v>
      </c>
      <c r="F189" s="235">
        <v>1</v>
      </c>
      <c r="G189" s="236" t="s">
        <v>156</v>
      </c>
      <c r="H189" s="236">
        <v>0.68</v>
      </c>
      <c r="I189" s="236"/>
      <c r="J189" s="235">
        <v>1</v>
      </c>
      <c r="K189" s="236"/>
      <c r="L189" s="236">
        <f>PRODUCT(F189:J189)</f>
        <v>0.68</v>
      </c>
      <c r="M189" s="111"/>
      <c r="N189" s="111"/>
      <c r="O189" s="111"/>
      <c r="P189" s="111"/>
    </row>
    <row r="190" spans="3:16" s="170" customFormat="1" x14ac:dyDescent="0.3">
      <c r="C190" s="114"/>
      <c r="D190" s="258"/>
      <c r="E190" s="234" t="s">
        <v>0</v>
      </c>
      <c r="F190" s="235">
        <v>1</v>
      </c>
      <c r="G190" s="236" t="s">
        <v>156</v>
      </c>
      <c r="H190" s="236">
        <v>6.74</v>
      </c>
      <c r="I190" s="236"/>
      <c r="J190" s="235">
        <v>1</v>
      </c>
      <c r="K190" s="236"/>
      <c r="L190" s="236">
        <f t="shared" ref="L190:L191" si="20">PRODUCT(F190:J190)</f>
        <v>6.74</v>
      </c>
      <c r="M190" s="111"/>
      <c r="N190" s="111"/>
      <c r="O190" s="111"/>
      <c r="P190" s="111"/>
    </row>
    <row r="191" spans="3:16" s="170" customFormat="1" x14ac:dyDescent="0.3">
      <c r="C191" s="114"/>
      <c r="D191" s="258"/>
      <c r="E191" s="234" t="s">
        <v>0</v>
      </c>
      <c r="F191" s="235">
        <v>1</v>
      </c>
      <c r="G191" s="236" t="s">
        <v>156</v>
      </c>
      <c r="H191" s="236">
        <v>12.48</v>
      </c>
      <c r="I191" s="236"/>
      <c r="J191" s="235">
        <v>1</v>
      </c>
      <c r="K191" s="236"/>
      <c r="L191" s="236">
        <f t="shared" si="20"/>
        <v>12.48</v>
      </c>
      <c r="M191" s="111"/>
      <c r="N191" s="111"/>
      <c r="O191" s="111"/>
      <c r="P191" s="111"/>
    </row>
    <row r="192" spans="3:16" s="170" customFormat="1" x14ac:dyDescent="0.3">
      <c r="C192" s="114"/>
      <c r="D192" s="258"/>
      <c r="E192" s="234"/>
      <c r="F192" s="235"/>
      <c r="G192" s="236"/>
      <c r="H192" s="236"/>
      <c r="I192" s="236"/>
      <c r="J192" s="235"/>
      <c r="K192" s="236"/>
      <c r="L192" s="236"/>
      <c r="M192" s="111"/>
      <c r="N192" s="111"/>
      <c r="O192" s="111"/>
      <c r="P192" s="111"/>
    </row>
    <row r="193" spans="3:16" s="170" customFormat="1" ht="14.4" x14ac:dyDescent="0.3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B72C-87BD-4572-9554-14D16FC4E2BA}">
  <dimension ref="A1:W319"/>
  <sheetViews>
    <sheetView view="pageBreakPreview" topLeftCell="C1" zoomScale="130" zoomScaleNormal="100" zoomScaleSheetLayoutView="130" workbookViewId="0">
      <selection activeCell="C18" sqref="C18:C20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1130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436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172" t="s">
        <v>522</v>
      </c>
      <c r="E20" s="101" t="s">
        <v>0</v>
      </c>
      <c r="F20" s="1"/>
      <c r="G20" s="2"/>
      <c r="H20" s="2"/>
      <c r="I20" s="2"/>
      <c r="J20" s="3"/>
      <c r="K20" s="103"/>
      <c r="L20" s="103"/>
      <c r="M20" s="103"/>
      <c r="N20" s="103"/>
      <c r="O20" s="103"/>
      <c r="P20" s="103">
        <f>SUM(L20:L76)</f>
        <v>349.29299999999989</v>
      </c>
    </row>
    <row r="21" spans="1:16" s="170" customFormat="1" x14ac:dyDescent="0.3">
      <c r="C21" s="106"/>
      <c r="D21" s="227" t="s">
        <v>127</v>
      </c>
      <c r="E21" s="228"/>
      <c r="F21" s="229"/>
      <c r="G21" s="230"/>
      <c r="H21" s="230"/>
      <c r="I21" s="230"/>
      <c r="J21" s="229"/>
      <c r="K21" s="231"/>
      <c r="L21" s="231"/>
      <c r="M21" s="113"/>
      <c r="N21" s="113"/>
      <c r="O21" s="113"/>
      <c r="P21" s="113"/>
    </row>
    <row r="22" spans="1:16" s="170" customFormat="1" x14ac:dyDescent="0.3">
      <c r="C22" s="106"/>
      <c r="D22" s="232" t="s">
        <v>160</v>
      </c>
      <c r="E22" s="228"/>
      <c r="F22" s="229"/>
      <c r="G22" s="230"/>
      <c r="H22" s="230"/>
      <c r="I22" s="230"/>
      <c r="J22" s="229"/>
      <c r="K22" s="231"/>
      <c r="L22" s="231"/>
      <c r="M22" s="113"/>
      <c r="N22" s="113"/>
      <c r="O22" s="113"/>
      <c r="P22" s="113"/>
    </row>
    <row r="23" spans="1:16" s="170" customFormat="1" x14ac:dyDescent="0.3">
      <c r="C23" s="114"/>
      <c r="D23" s="233" t="s">
        <v>437</v>
      </c>
      <c r="E23" s="234" t="s">
        <v>0</v>
      </c>
      <c r="F23" s="235">
        <v>1</v>
      </c>
      <c r="G23" s="236">
        <v>1.1499999999999999</v>
      </c>
      <c r="H23" s="236"/>
      <c r="I23" s="236">
        <v>2.1</v>
      </c>
      <c r="J23" s="235">
        <v>1</v>
      </c>
      <c r="K23" s="237"/>
      <c r="L23" s="237">
        <f t="shared" ref="L23:L29" si="0">IF(F23="","",PRODUCT(F23:J23))</f>
        <v>2.415</v>
      </c>
      <c r="M23" s="111"/>
      <c r="N23" s="111"/>
      <c r="O23" s="111"/>
      <c r="P23" s="111"/>
    </row>
    <row r="24" spans="1:16" s="170" customFormat="1" x14ac:dyDescent="0.3">
      <c r="C24" s="114"/>
      <c r="D24" s="233" t="s">
        <v>438</v>
      </c>
      <c r="E24" s="234" t="s">
        <v>0</v>
      </c>
      <c r="F24" s="235">
        <v>1</v>
      </c>
      <c r="G24" s="236">
        <v>3.65</v>
      </c>
      <c r="H24" s="236"/>
      <c r="I24" s="236">
        <v>2.1</v>
      </c>
      <c r="J24" s="235">
        <v>1</v>
      </c>
      <c r="K24" s="237"/>
      <c r="L24" s="237">
        <f t="shared" si="0"/>
        <v>7.665</v>
      </c>
      <c r="M24" s="111"/>
      <c r="N24" s="111"/>
      <c r="O24" s="111"/>
      <c r="P24" s="111"/>
    </row>
    <row r="25" spans="1:16" s="170" customFormat="1" x14ac:dyDescent="0.3">
      <c r="C25" s="114"/>
      <c r="D25" s="233" t="s">
        <v>439</v>
      </c>
      <c r="E25" s="234" t="s">
        <v>0</v>
      </c>
      <c r="F25" s="235">
        <v>1</v>
      </c>
      <c r="G25" s="236">
        <v>1.1499999999999999</v>
      </c>
      <c r="H25" s="236"/>
      <c r="I25" s="236">
        <v>2.1</v>
      </c>
      <c r="J25" s="235">
        <v>1</v>
      </c>
      <c r="K25" s="237"/>
      <c r="L25" s="237">
        <f t="shared" si="0"/>
        <v>2.415</v>
      </c>
      <c r="M25" s="111"/>
      <c r="N25" s="111"/>
      <c r="O25" s="111"/>
      <c r="P25" s="111"/>
    </row>
    <row r="26" spans="1:16" s="170" customFormat="1" x14ac:dyDescent="0.3">
      <c r="C26" s="114"/>
      <c r="D26" s="233" t="s">
        <v>440</v>
      </c>
      <c r="E26" s="234" t="s">
        <v>0</v>
      </c>
      <c r="F26" s="235">
        <v>1</v>
      </c>
      <c r="G26" s="236">
        <v>3.65</v>
      </c>
      <c r="H26" s="236"/>
      <c r="I26" s="236">
        <v>2.1</v>
      </c>
      <c r="J26" s="235">
        <v>1</v>
      </c>
      <c r="K26" s="237"/>
      <c r="L26" s="237">
        <f t="shared" si="0"/>
        <v>7.665</v>
      </c>
      <c r="M26" s="111"/>
      <c r="N26" s="111"/>
      <c r="O26" s="111"/>
      <c r="P26" s="111"/>
    </row>
    <row r="27" spans="1:16" s="170" customFormat="1" x14ac:dyDescent="0.3">
      <c r="C27" s="114"/>
      <c r="D27" s="233" t="s">
        <v>441</v>
      </c>
      <c r="E27" s="234" t="s">
        <v>0</v>
      </c>
      <c r="F27" s="235">
        <v>1</v>
      </c>
      <c r="G27" s="236">
        <v>3.3</v>
      </c>
      <c r="H27" s="236"/>
      <c r="I27" s="236">
        <v>2.9</v>
      </c>
      <c r="J27" s="235">
        <v>1</v>
      </c>
      <c r="K27" s="237"/>
      <c r="L27" s="237">
        <f t="shared" si="0"/>
        <v>9.5699999999999985</v>
      </c>
      <c r="M27" s="111"/>
      <c r="N27" s="111"/>
      <c r="O27" s="111"/>
      <c r="P27" s="111"/>
    </row>
    <row r="28" spans="1:16" s="170" customFormat="1" x14ac:dyDescent="0.3">
      <c r="C28" s="114"/>
      <c r="D28" s="233" t="s">
        <v>442</v>
      </c>
      <c r="E28" s="234" t="s">
        <v>0</v>
      </c>
      <c r="F28" s="235">
        <v>1</v>
      </c>
      <c r="G28" s="236">
        <v>3.3</v>
      </c>
      <c r="H28" s="236"/>
      <c r="I28" s="236">
        <v>2.9</v>
      </c>
      <c r="J28" s="235">
        <v>2</v>
      </c>
      <c r="K28" s="237"/>
      <c r="L28" s="237">
        <f t="shared" si="0"/>
        <v>19.139999999999997</v>
      </c>
      <c r="M28" s="111"/>
      <c r="N28" s="111"/>
      <c r="O28" s="111"/>
      <c r="P28" s="111"/>
    </row>
    <row r="29" spans="1:16" s="170" customFormat="1" x14ac:dyDescent="0.3">
      <c r="C29" s="114"/>
      <c r="D29" s="233" t="s">
        <v>443</v>
      </c>
      <c r="E29" s="234" t="s">
        <v>0</v>
      </c>
      <c r="F29" s="235">
        <v>1</v>
      </c>
      <c r="G29" s="236">
        <v>3.3</v>
      </c>
      <c r="H29" s="236"/>
      <c r="I29" s="236">
        <v>2.9</v>
      </c>
      <c r="J29" s="235">
        <v>1</v>
      </c>
      <c r="K29" s="237"/>
      <c r="L29" s="237">
        <f t="shared" si="0"/>
        <v>9.5699999999999985</v>
      </c>
      <c r="M29" s="111"/>
      <c r="N29" s="111"/>
      <c r="O29" s="111"/>
      <c r="P29" s="111"/>
    </row>
    <row r="30" spans="1:16" s="170" customFormat="1" x14ac:dyDescent="0.3">
      <c r="C30" s="106"/>
      <c r="D30" s="232" t="s">
        <v>444</v>
      </c>
      <c r="E30" s="228"/>
      <c r="F30" s="229"/>
      <c r="G30" s="230"/>
      <c r="H30" s="230"/>
      <c r="I30" s="230"/>
      <c r="J30" s="229"/>
      <c r="K30" s="231"/>
      <c r="L30" s="231"/>
      <c r="M30" s="113"/>
      <c r="N30" s="113"/>
      <c r="O30" s="113"/>
      <c r="P30" s="113"/>
    </row>
    <row r="31" spans="1:16" s="170" customFormat="1" x14ac:dyDescent="0.3">
      <c r="C31" s="114"/>
      <c r="D31" s="238" t="s">
        <v>445</v>
      </c>
      <c r="E31" s="234" t="s">
        <v>0</v>
      </c>
      <c r="F31" s="235">
        <v>2</v>
      </c>
      <c r="G31" s="236">
        <v>1.1499999999999999</v>
      </c>
      <c r="H31" s="236"/>
      <c r="I31" s="236">
        <v>1.95</v>
      </c>
      <c r="J31" s="235">
        <v>1</v>
      </c>
      <c r="K31" s="237"/>
      <c r="L31" s="237">
        <f t="shared" ref="L31" si="1">IF(F31="","",PRODUCT(F31:J31))</f>
        <v>4.4849999999999994</v>
      </c>
      <c r="M31" s="111"/>
      <c r="N31" s="111"/>
      <c r="O31" s="111"/>
      <c r="P31" s="111"/>
    </row>
    <row r="32" spans="1:16" s="170" customFormat="1" x14ac:dyDescent="0.3">
      <c r="C32" s="114"/>
      <c r="D32" s="232" t="s">
        <v>446</v>
      </c>
      <c r="E32" s="234"/>
      <c r="F32" s="235"/>
      <c r="G32" s="236"/>
      <c r="H32" s="236"/>
      <c r="I32" s="236"/>
      <c r="J32" s="235"/>
      <c r="K32" s="237"/>
      <c r="L32" s="237"/>
      <c r="M32" s="111"/>
      <c r="N32" s="111"/>
      <c r="O32" s="111"/>
      <c r="P32" s="111"/>
    </row>
    <row r="33" spans="3:16" s="170" customFormat="1" x14ac:dyDescent="0.3">
      <c r="C33" s="114"/>
      <c r="D33" s="238" t="s">
        <v>447</v>
      </c>
      <c r="E33" s="239" t="s">
        <v>0</v>
      </c>
      <c r="F33" s="240">
        <v>4</v>
      </c>
      <c r="G33" s="241">
        <v>0.95</v>
      </c>
      <c r="H33" s="241"/>
      <c r="I33" s="241">
        <v>2.95</v>
      </c>
      <c r="J33" s="242">
        <v>1</v>
      </c>
      <c r="K33" s="237"/>
      <c r="L33" s="237">
        <f>PRODUCT(F33:J33)</f>
        <v>11.21</v>
      </c>
      <c r="M33" s="111"/>
      <c r="N33" s="111"/>
      <c r="O33" s="111"/>
      <c r="P33" s="111"/>
    </row>
    <row r="34" spans="3:16" s="170" customFormat="1" x14ac:dyDescent="0.3">
      <c r="C34" s="114"/>
      <c r="D34" s="238" t="s">
        <v>447</v>
      </c>
      <c r="E34" s="239" t="s">
        <v>0</v>
      </c>
      <c r="F34" s="240">
        <v>8</v>
      </c>
      <c r="G34" s="241">
        <v>1.41</v>
      </c>
      <c r="H34" s="241"/>
      <c r="I34" s="241">
        <v>2.95</v>
      </c>
      <c r="J34" s="242">
        <v>1</v>
      </c>
      <c r="K34" s="237"/>
      <c r="L34" s="237">
        <f>PRODUCT(F34:J34)</f>
        <v>33.276000000000003</v>
      </c>
      <c r="M34" s="111"/>
      <c r="N34" s="111"/>
      <c r="O34" s="111"/>
      <c r="P34" s="111"/>
    </row>
    <row r="35" spans="3:16" s="170" customFormat="1" x14ac:dyDescent="0.3">
      <c r="C35" s="114"/>
      <c r="D35" s="238" t="s">
        <v>447</v>
      </c>
      <c r="E35" s="239" t="s">
        <v>0</v>
      </c>
      <c r="F35" s="240">
        <v>12</v>
      </c>
      <c r="G35" s="241">
        <v>0.55000000000000004</v>
      </c>
      <c r="H35" s="241"/>
      <c r="I35" s="241">
        <v>1.05</v>
      </c>
      <c r="J35" s="242">
        <v>1</v>
      </c>
      <c r="K35" s="237"/>
      <c r="L35" s="237">
        <f>PRODUCT(F35:J35)</f>
        <v>6.9300000000000006</v>
      </c>
      <c r="M35" s="111"/>
      <c r="N35" s="111"/>
      <c r="O35" s="111"/>
      <c r="P35" s="111"/>
    </row>
    <row r="36" spans="3:16" s="170" customFormat="1" x14ac:dyDescent="0.3">
      <c r="C36" s="114"/>
      <c r="D36" s="238" t="s">
        <v>448</v>
      </c>
      <c r="E36" s="239" t="s">
        <v>0</v>
      </c>
      <c r="F36" s="240">
        <v>2</v>
      </c>
      <c r="G36" s="241">
        <v>0.3</v>
      </c>
      <c r="H36" s="241"/>
      <c r="I36" s="241">
        <v>2.1</v>
      </c>
      <c r="J36" s="242">
        <v>1</v>
      </c>
      <c r="K36" s="237"/>
      <c r="L36" s="237">
        <f>PRODUCT(F36:J36)</f>
        <v>1.26</v>
      </c>
      <c r="M36" s="111"/>
      <c r="N36" s="111"/>
      <c r="O36" s="111"/>
      <c r="P36" s="111"/>
    </row>
    <row r="37" spans="3:16" s="170" customFormat="1" x14ac:dyDescent="0.3">
      <c r="C37" s="114"/>
      <c r="D37" s="238"/>
      <c r="E37" s="239" t="s">
        <v>0</v>
      </c>
      <c r="F37" s="240">
        <v>2</v>
      </c>
      <c r="G37" s="241">
        <v>0.7</v>
      </c>
      <c r="H37" s="241"/>
      <c r="I37" s="241">
        <v>2.1</v>
      </c>
      <c r="J37" s="242">
        <v>1</v>
      </c>
      <c r="K37" s="237"/>
      <c r="L37" s="237">
        <f>PRODUCT(F37:J37)</f>
        <v>2.94</v>
      </c>
      <c r="M37" s="111"/>
      <c r="N37" s="111"/>
      <c r="O37" s="111"/>
      <c r="P37" s="111"/>
    </row>
    <row r="38" spans="3:16" s="170" customFormat="1" x14ac:dyDescent="0.3">
      <c r="C38" s="106"/>
      <c r="D38" s="227" t="s">
        <v>68</v>
      </c>
      <c r="E38" s="228"/>
      <c r="F38" s="229"/>
      <c r="G38" s="230"/>
      <c r="H38" s="230"/>
      <c r="I38" s="230"/>
      <c r="J38" s="229"/>
      <c r="K38" s="231"/>
      <c r="L38" s="231"/>
      <c r="M38" s="113"/>
      <c r="N38" s="113"/>
      <c r="O38" s="113"/>
      <c r="P38" s="113"/>
    </row>
    <row r="39" spans="3:16" s="170" customFormat="1" x14ac:dyDescent="0.3">
      <c r="C39" s="106"/>
      <c r="D39" s="232" t="s">
        <v>160</v>
      </c>
      <c r="E39" s="228"/>
      <c r="F39" s="229"/>
      <c r="G39" s="230"/>
      <c r="H39" s="230"/>
      <c r="I39" s="230"/>
      <c r="J39" s="229"/>
      <c r="K39" s="231"/>
      <c r="L39" s="231"/>
      <c r="M39" s="113"/>
      <c r="N39" s="113"/>
      <c r="O39" s="113"/>
      <c r="P39" s="113"/>
    </row>
    <row r="40" spans="3:16" s="170" customFormat="1" x14ac:dyDescent="0.3">
      <c r="C40" s="114"/>
      <c r="D40" s="233" t="s">
        <v>437</v>
      </c>
      <c r="E40" s="234" t="s">
        <v>0</v>
      </c>
      <c r="F40" s="235">
        <v>1</v>
      </c>
      <c r="G40" s="236">
        <v>1.1499999999999999</v>
      </c>
      <c r="H40" s="236"/>
      <c r="I40" s="236">
        <v>2.1</v>
      </c>
      <c r="J40" s="235">
        <v>1</v>
      </c>
      <c r="K40" s="237"/>
      <c r="L40" s="237">
        <f t="shared" ref="L40:L46" si="2">IF(F40="","",PRODUCT(F40:J40))</f>
        <v>2.415</v>
      </c>
      <c r="M40" s="111"/>
      <c r="N40" s="111"/>
      <c r="O40" s="111"/>
      <c r="P40" s="111"/>
    </row>
    <row r="41" spans="3:16" s="170" customFormat="1" x14ac:dyDescent="0.3">
      <c r="C41" s="114"/>
      <c r="D41" s="233" t="s">
        <v>438</v>
      </c>
      <c r="E41" s="234" t="s">
        <v>0</v>
      </c>
      <c r="F41" s="235">
        <v>1</v>
      </c>
      <c r="G41" s="236">
        <v>3.65</v>
      </c>
      <c r="H41" s="236"/>
      <c r="I41" s="236">
        <v>2.1</v>
      </c>
      <c r="J41" s="235">
        <v>1</v>
      </c>
      <c r="K41" s="237"/>
      <c r="L41" s="237">
        <f t="shared" si="2"/>
        <v>7.665</v>
      </c>
      <c r="M41" s="111"/>
      <c r="N41" s="111"/>
      <c r="O41" s="111"/>
      <c r="P41" s="111"/>
    </row>
    <row r="42" spans="3:16" s="170" customFormat="1" x14ac:dyDescent="0.3">
      <c r="C42" s="114"/>
      <c r="D42" s="233" t="s">
        <v>439</v>
      </c>
      <c r="E42" s="234" t="s">
        <v>0</v>
      </c>
      <c r="F42" s="235">
        <v>1</v>
      </c>
      <c r="G42" s="236">
        <v>1.1499999999999999</v>
      </c>
      <c r="H42" s="236"/>
      <c r="I42" s="236">
        <v>2.1</v>
      </c>
      <c r="J42" s="235">
        <v>1</v>
      </c>
      <c r="K42" s="237"/>
      <c r="L42" s="237">
        <f t="shared" si="2"/>
        <v>2.415</v>
      </c>
      <c r="M42" s="111"/>
      <c r="N42" s="111"/>
      <c r="O42" s="111"/>
      <c r="P42" s="111"/>
    </row>
    <row r="43" spans="3:16" s="170" customFormat="1" x14ac:dyDescent="0.3">
      <c r="C43" s="114"/>
      <c r="D43" s="233" t="s">
        <v>440</v>
      </c>
      <c r="E43" s="234" t="s">
        <v>0</v>
      </c>
      <c r="F43" s="235">
        <v>1</v>
      </c>
      <c r="G43" s="236">
        <v>3.65</v>
      </c>
      <c r="H43" s="236"/>
      <c r="I43" s="236">
        <v>2.1</v>
      </c>
      <c r="J43" s="235">
        <v>1</v>
      </c>
      <c r="K43" s="237"/>
      <c r="L43" s="237">
        <f t="shared" si="2"/>
        <v>7.665</v>
      </c>
      <c r="M43" s="111"/>
      <c r="N43" s="111"/>
      <c r="O43" s="111"/>
      <c r="P43" s="111"/>
    </row>
    <row r="44" spans="3:16" s="170" customFormat="1" x14ac:dyDescent="0.3">
      <c r="C44" s="114"/>
      <c r="D44" s="233" t="s">
        <v>441</v>
      </c>
      <c r="E44" s="234" t="s">
        <v>0</v>
      </c>
      <c r="F44" s="235">
        <v>1</v>
      </c>
      <c r="G44" s="236">
        <v>3.3</v>
      </c>
      <c r="H44" s="236"/>
      <c r="I44" s="236">
        <v>2.9</v>
      </c>
      <c r="J44" s="235">
        <v>1</v>
      </c>
      <c r="K44" s="237"/>
      <c r="L44" s="237">
        <f t="shared" si="2"/>
        <v>9.5699999999999985</v>
      </c>
      <c r="M44" s="111"/>
      <c r="N44" s="111"/>
      <c r="O44" s="111"/>
      <c r="P44" s="111"/>
    </row>
    <row r="45" spans="3:16" s="170" customFormat="1" x14ac:dyDescent="0.3">
      <c r="C45" s="114"/>
      <c r="D45" s="233" t="s">
        <v>442</v>
      </c>
      <c r="E45" s="234" t="s">
        <v>0</v>
      </c>
      <c r="F45" s="235">
        <v>1</v>
      </c>
      <c r="G45" s="236">
        <v>3.3</v>
      </c>
      <c r="H45" s="236"/>
      <c r="I45" s="236">
        <v>2.9</v>
      </c>
      <c r="J45" s="235">
        <v>2</v>
      </c>
      <c r="K45" s="237"/>
      <c r="L45" s="237">
        <f t="shared" si="2"/>
        <v>19.139999999999997</v>
      </c>
      <c r="M45" s="111"/>
      <c r="N45" s="111"/>
      <c r="O45" s="111"/>
      <c r="P45" s="111"/>
    </row>
    <row r="46" spans="3:16" s="170" customFormat="1" x14ac:dyDescent="0.3">
      <c r="C46" s="114"/>
      <c r="D46" s="233" t="s">
        <v>443</v>
      </c>
      <c r="E46" s="234" t="s">
        <v>0</v>
      </c>
      <c r="F46" s="235">
        <v>1</v>
      </c>
      <c r="G46" s="236">
        <v>3.3</v>
      </c>
      <c r="H46" s="236"/>
      <c r="I46" s="236">
        <v>2.9</v>
      </c>
      <c r="J46" s="235">
        <v>1</v>
      </c>
      <c r="K46" s="237"/>
      <c r="L46" s="237">
        <f t="shared" si="2"/>
        <v>9.5699999999999985</v>
      </c>
      <c r="M46" s="111"/>
      <c r="N46" s="111"/>
      <c r="O46" s="111"/>
      <c r="P46" s="111"/>
    </row>
    <row r="47" spans="3:16" s="170" customFormat="1" x14ac:dyDescent="0.3">
      <c r="C47" s="114"/>
      <c r="D47" s="232" t="s">
        <v>444</v>
      </c>
      <c r="E47" s="228"/>
      <c r="F47" s="229"/>
      <c r="G47" s="230"/>
      <c r="H47" s="230"/>
      <c r="I47" s="230"/>
      <c r="J47" s="229"/>
      <c r="K47" s="231"/>
      <c r="L47" s="231"/>
      <c r="M47" s="111"/>
      <c r="N47" s="111"/>
      <c r="O47" s="111"/>
      <c r="P47" s="111"/>
    </row>
    <row r="48" spans="3:16" s="170" customFormat="1" x14ac:dyDescent="0.3">
      <c r="C48" s="114"/>
      <c r="D48" s="238" t="s">
        <v>445</v>
      </c>
      <c r="E48" s="234" t="s">
        <v>0</v>
      </c>
      <c r="F48" s="235">
        <v>2</v>
      </c>
      <c r="G48" s="236">
        <v>1.1499999999999999</v>
      </c>
      <c r="H48" s="236"/>
      <c r="I48" s="236">
        <v>1.95</v>
      </c>
      <c r="J48" s="235">
        <v>1</v>
      </c>
      <c r="K48" s="237"/>
      <c r="L48" s="237">
        <f t="shared" ref="L48" si="3">IF(F48="","",PRODUCT(F48:J48))</f>
        <v>4.4849999999999994</v>
      </c>
      <c r="M48" s="111"/>
      <c r="N48" s="111"/>
      <c r="O48" s="111"/>
      <c r="P48" s="111"/>
    </row>
    <row r="49" spans="3:16" s="170" customFormat="1" x14ac:dyDescent="0.3">
      <c r="C49" s="114"/>
      <c r="D49" s="232" t="s">
        <v>446</v>
      </c>
      <c r="E49" s="234"/>
      <c r="F49" s="235"/>
      <c r="G49" s="236"/>
      <c r="H49" s="236"/>
      <c r="I49" s="236"/>
      <c r="J49" s="235"/>
      <c r="K49" s="237"/>
      <c r="L49" s="237"/>
      <c r="M49" s="111"/>
      <c r="N49" s="111"/>
      <c r="O49" s="111"/>
      <c r="P49" s="111"/>
    </row>
    <row r="50" spans="3:16" s="170" customFormat="1" x14ac:dyDescent="0.3">
      <c r="C50" s="114"/>
      <c r="D50" s="238" t="s">
        <v>447</v>
      </c>
      <c r="E50" s="239" t="s">
        <v>0</v>
      </c>
      <c r="F50" s="240">
        <v>4</v>
      </c>
      <c r="G50" s="241">
        <v>0.95</v>
      </c>
      <c r="H50" s="241"/>
      <c r="I50" s="241">
        <v>2.95</v>
      </c>
      <c r="J50" s="242">
        <v>1</v>
      </c>
      <c r="K50" s="237"/>
      <c r="L50" s="237">
        <f>PRODUCT(F50:J50)</f>
        <v>11.21</v>
      </c>
      <c r="M50" s="111"/>
      <c r="N50" s="111"/>
      <c r="O50" s="111"/>
      <c r="P50" s="111"/>
    </row>
    <row r="51" spans="3:16" s="170" customFormat="1" x14ac:dyDescent="0.3">
      <c r="C51" s="114"/>
      <c r="D51" s="238" t="s">
        <v>447</v>
      </c>
      <c r="E51" s="239" t="s">
        <v>0</v>
      </c>
      <c r="F51" s="240">
        <v>8</v>
      </c>
      <c r="G51" s="241">
        <v>1.41</v>
      </c>
      <c r="H51" s="241"/>
      <c r="I51" s="241">
        <v>2.95</v>
      </c>
      <c r="J51" s="242">
        <v>1</v>
      </c>
      <c r="K51" s="237"/>
      <c r="L51" s="237">
        <f>PRODUCT(F51:J51)</f>
        <v>33.276000000000003</v>
      </c>
      <c r="M51" s="111"/>
      <c r="N51" s="111"/>
      <c r="O51" s="111"/>
      <c r="P51" s="111"/>
    </row>
    <row r="52" spans="3:16" s="170" customFormat="1" x14ac:dyDescent="0.3">
      <c r="C52" s="114"/>
      <c r="D52" s="238" t="s">
        <v>448</v>
      </c>
      <c r="E52" s="239" t="s">
        <v>0</v>
      </c>
      <c r="F52" s="240">
        <v>2</v>
      </c>
      <c r="G52" s="241">
        <v>0.3</v>
      </c>
      <c r="H52" s="241"/>
      <c r="I52" s="241">
        <v>2.1</v>
      </c>
      <c r="J52" s="242">
        <v>1</v>
      </c>
      <c r="K52" s="237"/>
      <c r="L52" s="237">
        <f>PRODUCT(F52:J52)</f>
        <v>1.26</v>
      </c>
      <c r="M52" s="111"/>
      <c r="N52" s="111"/>
      <c r="O52" s="111"/>
      <c r="P52" s="111"/>
    </row>
    <row r="53" spans="3:16" s="170" customFormat="1" x14ac:dyDescent="0.3">
      <c r="C53" s="114"/>
      <c r="D53" s="238"/>
      <c r="E53" s="239" t="s">
        <v>0</v>
      </c>
      <c r="F53" s="240">
        <v>2</v>
      </c>
      <c r="G53" s="241">
        <v>0.7</v>
      </c>
      <c r="H53" s="241"/>
      <c r="I53" s="241">
        <v>2.1</v>
      </c>
      <c r="J53" s="242">
        <v>1</v>
      </c>
      <c r="K53" s="237"/>
      <c r="L53" s="237">
        <f>PRODUCT(F53:J53)</f>
        <v>2.94</v>
      </c>
      <c r="M53" s="111"/>
      <c r="N53" s="111"/>
      <c r="O53" s="111"/>
      <c r="P53" s="111"/>
    </row>
    <row r="54" spans="3:16" s="170" customFormat="1" x14ac:dyDescent="0.3">
      <c r="C54" s="106"/>
      <c r="D54" s="227" t="s">
        <v>106</v>
      </c>
      <c r="E54" s="228"/>
      <c r="F54" s="229"/>
      <c r="G54" s="230"/>
      <c r="H54" s="230"/>
      <c r="I54" s="230"/>
      <c r="J54" s="229"/>
      <c r="K54" s="231"/>
      <c r="L54" s="231"/>
      <c r="M54" s="113"/>
      <c r="N54" s="113"/>
      <c r="O54" s="113"/>
      <c r="P54" s="113"/>
    </row>
    <row r="55" spans="3:16" s="170" customFormat="1" x14ac:dyDescent="0.3">
      <c r="C55" s="106"/>
      <c r="D55" s="232" t="s">
        <v>160</v>
      </c>
      <c r="E55" s="228"/>
      <c r="F55" s="229"/>
      <c r="G55" s="230"/>
      <c r="H55" s="230"/>
      <c r="I55" s="230"/>
      <c r="J55" s="229"/>
      <c r="K55" s="231"/>
      <c r="L55" s="231"/>
      <c r="M55" s="113"/>
      <c r="N55" s="113"/>
      <c r="O55" s="113"/>
      <c r="P55" s="113"/>
    </row>
    <row r="56" spans="3:16" s="170" customFormat="1" x14ac:dyDescent="0.3">
      <c r="C56" s="114"/>
      <c r="D56" s="233" t="s">
        <v>437</v>
      </c>
      <c r="E56" s="234" t="s">
        <v>0</v>
      </c>
      <c r="F56" s="235">
        <v>1</v>
      </c>
      <c r="G56" s="236">
        <v>1.1499999999999999</v>
      </c>
      <c r="H56" s="236"/>
      <c r="I56" s="236">
        <v>2.1</v>
      </c>
      <c r="J56" s="235">
        <v>1</v>
      </c>
      <c r="K56" s="237"/>
      <c r="L56" s="237">
        <f t="shared" ref="L56:L62" si="4">IF(F56="","",PRODUCT(F56:J56))</f>
        <v>2.415</v>
      </c>
      <c r="M56" s="111"/>
      <c r="N56" s="111"/>
      <c r="O56" s="111"/>
      <c r="P56" s="111"/>
    </row>
    <row r="57" spans="3:16" s="170" customFormat="1" x14ac:dyDescent="0.3">
      <c r="C57" s="114"/>
      <c r="D57" s="233" t="s">
        <v>438</v>
      </c>
      <c r="E57" s="234" t="s">
        <v>0</v>
      </c>
      <c r="F57" s="235">
        <v>1</v>
      </c>
      <c r="G57" s="236">
        <v>3.65</v>
      </c>
      <c r="H57" s="236"/>
      <c r="I57" s="236">
        <v>2.1</v>
      </c>
      <c r="J57" s="235">
        <v>1</v>
      </c>
      <c r="K57" s="237"/>
      <c r="L57" s="237">
        <f t="shared" si="4"/>
        <v>7.665</v>
      </c>
      <c r="M57" s="111"/>
      <c r="N57" s="111"/>
      <c r="O57" s="111"/>
      <c r="P57" s="111"/>
    </row>
    <row r="58" spans="3:16" s="170" customFormat="1" x14ac:dyDescent="0.3">
      <c r="C58" s="114"/>
      <c r="D58" s="233" t="s">
        <v>439</v>
      </c>
      <c r="E58" s="234" t="s">
        <v>0</v>
      </c>
      <c r="F58" s="235">
        <v>1</v>
      </c>
      <c r="G58" s="236">
        <v>1.1499999999999999</v>
      </c>
      <c r="H58" s="236"/>
      <c r="I58" s="236">
        <v>2.1</v>
      </c>
      <c r="J58" s="235">
        <v>1</v>
      </c>
      <c r="K58" s="237"/>
      <c r="L58" s="237">
        <f t="shared" si="4"/>
        <v>2.415</v>
      </c>
      <c r="M58" s="111"/>
      <c r="N58" s="111"/>
      <c r="O58" s="111"/>
      <c r="P58" s="111"/>
    </row>
    <row r="59" spans="3:16" s="170" customFormat="1" x14ac:dyDescent="0.3">
      <c r="C59" s="114"/>
      <c r="D59" s="233" t="s">
        <v>440</v>
      </c>
      <c r="E59" s="234" t="s">
        <v>0</v>
      </c>
      <c r="F59" s="235">
        <v>1</v>
      </c>
      <c r="G59" s="236">
        <v>3.65</v>
      </c>
      <c r="H59" s="236"/>
      <c r="I59" s="236">
        <v>2.1</v>
      </c>
      <c r="J59" s="235">
        <v>1</v>
      </c>
      <c r="K59" s="237"/>
      <c r="L59" s="237">
        <f t="shared" si="4"/>
        <v>7.665</v>
      </c>
      <c r="M59" s="111"/>
      <c r="N59" s="111"/>
      <c r="O59" s="111"/>
      <c r="P59" s="111"/>
    </row>
    <row r="60" spans="3:16" s="170" customFormat="1" x14ac:dyDescent="0.3">
      <c r="C60" s="114"/>
      <c r="D60" s="233" t="s">
        <v>441</v>
      </c>
      <c r="E60" s="234" t="s">
        <v>0</v>
      </c>
      <c r="F60" s="235">
        <v>1</v>
      </c>
      <c r="G60" s="236">
        <v>3.3</v>
      </c>
      <c r="H60" s="236"/>
      <c r="I60" s="236">
        <v>2.9</v>
      </c>
      <c r="J60" s="235">
        <v>1</v>
      </c>
      <c r="K60" s="237"/>
      <c r="L60" s="237">
        <f t="shared" si="4"/>
        <v>9.5699999999999985</v>
      </c>
      <c r="M60" s="111"/>
      <c r="N60" s="111"/>
      <c r="O60" s="111"/>
      <c r="P60" s="111"/>
    </row>
    <row r="61" spans="3:16" s="170" customFormat="1" x14ac:dyDescent="0.3">
      <c r="C61" s="114"/>
      <c r="D61" s="233" t="s">
        <v>442</v>
      </c>
      <c r="E61" s="234" t="s">
        <v>0</v>
      </c>
      <c r="F61" s="235">
        <v>1</v>
      </c>
      <c r="G61" s="236">
        <v>3.3</v>
      </c>
      <c r="H61" s="236"/>
      <c r="I61" s="236">
        <v>2.9</v>
      </c>
      <c r="J61" s="235">
        <v>2</v>
      </c>
      <c r="K61" s="237"/>
      <c r="L61" s="237">
        <f t="shared" si="4"/>
        <v>19.139999999999997</v>
      </c>
      <c r="M61" s="111"/>
      <c r="N61" s="111"/>
      <c r="O61" s="111"/>
      <c r="P61" s="111"/>
    </row>
    <row r="62" spans="3:16" s="170" customFormat="1" x14ac:dyDescent="0.3">
      <c r="C62" s="114"/>
      <c r="D62" s="233" t="s">
        <v>443</v>
      </c>
      <c r="E62" s="234" t="s">
        <v>0</v>
      </c>
      <c r="F62" s="235">
        <v>1</v>
      </c>
      <c r="G62" s="236">
        <v>3.3</v>
      </c>
      <c r="H62" s="236"/>
      <c r="I62" s="236">
        <v>2.9</v>
      </c>
      <c r="J62" s="235">
        <v>1</v>
      </c>
      <c r="K62" s="237"/>
      <c r="L62" s="237">
        <f t="shared" si="4"/>
        <v>9.5699999999999985</v>
      </c>
      <c r="M62" s="111"/>
      <c r="N62" s="111"/>
      <c r="O62" s="111"/>
      <c r="P62" s="111"/>
    </row>
    <row r="63" spans="3:16" s="170" customFormat="1" x14ac:dyDescent="0.3">
      <c r="C63" s="114"/>
      <c r="D63" s="232" t="s">
        <v>444</v>
      </c>
      <c r="E63" s="228"/>
      <c r="F63" s="229"/>
      <c r="G63" s="230"/>
      <c r="H63" s="230"/>
      <c r="I63" s="230"/>
      <c r="J63" s="229"/>
      <c r="K63" s="231"/>
      <c r="L63" s="231"/>
      <c r="M63" s="111"/>
      <c r="N63" s="111"/>
      <c r="O63" s="111"/>
      <c r="P63" s="111"/>
    </row>
    <row r="64" spans="3:16" s="170" customFormat="1" x14ac:dyDescent="0.3">
      <c r="C64" s="114"/>
      <c r="D64" s="238" t="s">
        <v>445</v>
      </c>
      <c r="E64" s="234" t="s">
        <v>0</v>
      </c>
      <c r="F64" s="235">
        <v>2</v>
      </c>
      <c r="G64" s="236">
        <v>1.1499999999999999</v>
      </c>
      <c r="H64" s="236"/>
      <c r="I64" s="236">
        <v>1.95</v>
      </c>
      <c r="J64" s="235">
        <v>1</v>
      </c>
      <c r="K64" s="237"/>
      <c r="L64" s="237">
        <f t="shared" ref="L64" si="5">IF(F64="","",PRODUCT(F64:J64))</f>
        <v>4.4849999999999994</v>
      </c>
      <c r="M64" s="111"/>
      <c r="N64" s="111"/>
      <c r="O64" s="111"/>
      <c r="P64" s="111"/>
    </row>
    <row r="65" spans="1:16" s="170" customFormat="1" x14ac:dyDescent="0.3">
      <c r="C65" s="114"/>
      <c r="D65" s="232" t="s">
        <v>446</v>
      </c>
      <c r="E65" s="234"/>
      <c r="F65" s="235"/>
      <c r="G65" s="236"/>
      <c r="H65" s="236"/>
      <c r="I65" s="236"/>
      <c r="J65" s="235"/>
      <c r="K65" s="237"/>
      <c r="L65" s="237"/>
      <c r="M65" s="111"/>
      <c r="N65" s="111"/>
      <c r="O65" s="111"/>
      <c r="P65" s="111"/>
    </row>
    <row r="66" spans="1:16" s="170" customFormat="1" x14ac:dyDescent="0.3">
      <c r="C66" s="114"/>
      <c r="D66" s="238" t="s">
        <v>447</v>
      </c>
      <c r="E66" s="239" t="s">
        <v>0</v>
      </c>
      <c r="F66" s="240">
        <v>4</v>
      </c>
      <c r="G66" s="241">
        <v>0.95</v>
      </c>
      <c r="H66" s="241"/>
      <c r="I66" s="241">
        <v>2.95</v>
      </c>
      <c r="J66" s="242">
        <v>1</v>
      </c>
      <c r="K66" s="237"/>
      <c r="L66" s="237">
        <f>PRODUCT(F66:J66)</f>
        <v>11.21</v>
      </c>
      <c r="M66" s="111"/>
      <c r="N66" s="111"/>
      <c r="O66" s="111"/>
      <c r="P66" s="111"/>
    </row>
    <row r="67" spans="1:16" s="170" customFormat="1" x14ac:dyDescent="0.3">
      <c r="C67" s="114"/>
      <c r="D67" s="238" t="s">
        <v>447</v>
      </c>
      <c r="E67" s="239" t="s">
        <v>0</v>
      </c>
      <c r="F67" s="240">
        <v>8</v>
      </c>
      <c r="G67" s="241">
        <v>1.41</v>
      </c>
      <c r="H67" s="241"/>
      <c r="I67" s="241">
        <v>2.95</v>
      </c>
      <c r="J67" s="242">
        <v>1</v>
      </c>
      <c r="K67" s="237"/>
      <c r="L67" s="237">
        <f>PRODUCT(F67:J67)</f>
        <v>33.276000000000003</v>
      </c>
      <c r="M67" s="111"/>
      <c r="N67" s="111"/>
      <c r="O67" s="111"/>
      <c r="P67" s="111"/>
    </row>
    <row r="68" spans="1:16" s="170" customFormat="1" x14ac:dyDescent="0.3">
      <c r="C68" s="114"/>
      <c r="D68" s="238" t="s">
        <v>449</v>
      </c>
      <c r="E68" s="239" t="s">
        <v>0</v>
      </c>
      <c r="F68" s="240">
        <v>12</v>
      </c>
      <c r="G68" s="241">
        <v>0.55000000000000004</v>
      </c>
      <c r="H68" s="241"/>
      <c r="I68" s="241">
        <v>0.45</v>
      </c>
      <c r="J68" s="242">
        <v>1</v>
      </c>
      <c r="K68" s="237"/>
      <c r="L68" s="237">
        <f>PRODUCT(F68:J68)</f>
        <v>2.97</v>
      </c>
      <c r="M68" s="111"/>
      <c r="N68" s="111"/>
      <c r="O68" s="111"/>
      <c r="P68" s="111"/>
    </row>
    <row r="69" spans="1:16" s="170" customFormat="1" x14ac:dyDescent="0.3">
      <c r="C69" s="114"/>
      <c r="D69" s="238" t="s">
        <v>448</v>
      </c>
      <c r="E69" s="239" t="s">
        <v>0</v>
      </c>
      <c r="F69" s="240">
        <v>2</v>
      </c>
      <c r="G69" s="241">
        <v>0.3</v>
      </c>
      <c r="H69" s="241"/>
      <c r="I69" s="241">
        <v>2.1</v>
      </c>
      <c r="J69" s="242">
        <v>1</v>
      </c>
      <c r="K69" s="237"/>
      <c r="L69" s="237">
        <f>PRODUCT(F69:J69)</f>
        <v>1.26</v>
      </c>
      <c r="M69" s="111"/>
      <c r="N69" s="111"/>
      <c r="O69" s="111"/>
      <c r="P69" s="111"/>
    </row>
    <row r="70" spans="1:16" s="170" customFormat="1" x14ac:dyDescent="0.3">
      <c r="A70" s="170">
        <v>3</v>
      </c>
      <c r="C70" s="114"/>
      <c r="D70" s="238"/>
      <c r="E70" s="239" t="s">
        <v>0</v>
      </c>
      <c r="F70" s="240">
        <v>2</v>
      </c>
      <c r="G70" s="241">
        <v>0.7</v>
      </c>
      <c r="H70" s="241"/>
      <c r="I70" s="241">
        <v>2.1</v>
      </c>
      <c r="J70" s="242">
        <v>1</v>
      </c>
      <c r="K70" s="237"/>
      <c r="L70" s="237">
        <f>PRODUCT(F70:J70)</f>
        <v>2.94</v>
      </c>
      <c r="M70" s="111"/>
      <c r="N70" s="111"/>
      <c r="O70" s="111"/>
      <c r="P70" s="111"/>
    </row>
    <row r="71" spans="1:16" s="170" customFormat="1" x14ac:dyDescent="0.3">
      <c r="C71" s="106"/>
      <c r="D71" s="227" t="s">
        <v>52</v>
      </c>
      <c r="E71" s="228"/>
      <c r="F71" s="229"/>
      <c r="G71" s="230"/>
      <c r="H71" s="230"/>
      <c r="I71" s="230"/>
      <c r="J71" s="229"/>
      <c r="K71" s="231"/>
      <c r="L71" s="231"/>
      <c r="M71" s="113"/>
      <c r="N71" s="113"/>
      <c r="O71" s="113"/>
      <c r="P71" s="113"/>
    </row>
    <row r="72" spans="1:16" s="170" customFormat="1" x14ac:dyDescent="0.3">
      <c r="C72" s="106"/>
      <c r="D72" s="232" t="s">
        <v>160</v>
      </c>
      <c r="E72" s="228"/>
      <c r="F72" s="229"/>
      <c r="G72" s="230"/>
      <c r="H72" s="230"/>
      <c r="I72" s="230"/>
      <c r="J72" s="229"/>
      <c r="K72" s="231"/>
      <c r="L72" s="231"/>
      <c r="M72" s="113"/>
      <c r="N72" s="113"/>
      <c r="O72" s="113"/>
      <c r="P72" s="113"/>
    </row>
    <row r="73" spans="1:16" s="170" customFormat="1" x14ac:dyDescent="0.3">
      <c r="C73" s="114"/>
      <c r="D73" s="233" t="s">
        <v>450</v>
      </c>
      <c r="E73" s="234" t="s">
        <v>0</v>
      </c>
      <c r="F73" s="235">
        <v>4</v>
      </c>
      <c r="G73" s="236" t="s">
        <v>156</v>
      </c>
      <c r="H73" s="236"/>
      <c r="I73" s="236">
        <v>0.56999999999999995</v>
      </c>
      <c r="J73" s="235">
        <v>1</v>
      </c>
      <c r="K73" s="237"/>
      <c r="L73" s="237">
        <f t="shared" ref="L73:L74" si="6">IF(F73="","",PRODUCT(F73:J73))</f>
        <v>2.2799999999999998</v>
      </c>
      <c r="M73" s="111"/>
      <c r="N73" s="111"/>
      <c r="O73" s="111"/>
      <c r="P73" s="111"/>
    </row>
    <row r="74" spans="1:16" s="170" customFormat="1" x14ac:dyDescent="0.3">
      <c r="C74" s="114"/>
      <c r="D74" s="233" t="s">
        <v>451</v>
      </c>
      <c r="E74" s="234" t="s">
        <v>0</v>
      </c>
      <c r="F74" s="235">
        <v>4</v>
      </c>
      <c r="G74" s="236" t="s">
        <v>156</v>
      </c>
      <c r="H74" s="236"/>
      <c r="I74" s="236">
        <v>0.56999999999999995</v>
      </c>
      <c r="J74" s="235">
        <v>1</v>
      </c>
      <c r="K74" s="237"/>
      <c r="L74" s="237">
        <f t="shared" si="6"/>
        <v>2.2799999999999998</v>
      </c>
      <c r="M74" s="111"/>
      <c r="N74" s="111"/>
      <c r="O74" s="111"/>
      <c r="P74" s="111"/>
    </row>
    <row r="75" spans="1:16" s="170" customFormat="1" x14ac:dyDescent="0.3">
      <c r="C75" s="114"/>
      <c r="D75" s="243"/>
      <c r="E75" s="244"/>
      <c r="F75" s="245"/>
      <c r="G75" s="246"/>
      <c r="H75" s="246"/>
      <c r="I75" s="246"/>
      <c r="J75" s="245"/>
      <c r="K75" s="247"/>
      <c r="L75" s="247"/>
      <c r="M75" s="111"/>
      <c r="N75" s="111"/>
      <c r="O75" s="111"/>
      <c r="P75" s="111"/>
    </row>
    <row r="76" spans="1:16" s="170" customFormat="1" x14ac:dyDescent="0.3">
      <c r="C76" s="99" t="s">
        <v>1181</v>
      </c>
      <c r="D76" s="226" t="s">
        <v>521</v>
      </c>
      <c r="E76" s="101" t="s">
        <v>0</v>
      </c>
      <c r="F76" s="1"/>
      <c r="G76" s="2"/>
      <c r="H76" s="2"/>
      <c r="I76" s="2"/>
      <c r="J76" s="3"/>
      <c r="K76" s="103"/>
      <c r="L76" s="103"/>
      <c r="M76" s="103"/>
      <c r="N76" s="103"/>
      <c r="O76" s="103"/>
      <c r="P76" s="103">
        <f>SUM(L76:L101)</f>
        <v>73.935000000000002</v>
      </c>
    </row>
    <row r="77" spans="1:16" s="170" customFormat="1" x14ac:dyDescent="0.3">
      <c r="C77" s="106"/>
      <c r="D77" s="115" t="s">
        <v>127</v>
      </c>
      <c r="E77" s="121"/>
      <c r="F77" s="3"/>
      <c r="G77" s="122"/>
      <c r="H77" s="122"/>
      <c r="I77" s="122"/>
      <c r="J77" s="3"/>
      <c r="K77" s="113"/>
      <c r="L77" s="113"/>
      <c r="M77" s="113"/>
      <c r="N77" s="113"/>
      <c r="O77" s="113"/>
      <c r="P77" s="113"/>
    </row>
    <row r="78" spans="1:16" s="170" customFormat="1" x14ac:dyDescent="0.3">
      <c r="C78" s="114"/>
      <c r="D78" s="137" t="s">
        <v>160</v>
      </c>
      <c r="E78" s="121"/>
      <c r="F78" s="3"/>
      <c r="G78" s="122"/>
      <c r="H78" s="122"/>
      <c r="I78" s="122"/>
      <c r="J78" s="3"/>
      <c r="K78" s="113"/>
      <c r="L78" s="113"/>
      <c r="M78" s="111"/>
      <c r="N78" s="111"/>
      <c r="O78" s="111"/>
      <c r="P78" s="111"/>
    </row>
    <row r="79" spans="1:16" s="170" customFormat="1" x14ac:dyDescent="0.3">
      <c r="C79" s="114"/>
      <c r="D79" s="233" t="s">
        <v>437</v>
      </c>
      <c r="E79" s="234" t="s">
        <v>0</v>
      </c>
      <c r="F79" s="235">
        <v>1</v>
      </c>
      <c r="G79" s="236">
        <v>1.1499999999999999</v>
      </c>
      <c r="H79" s="236"/>
      <c r="I79" s="236">
        <v>2.1</v>
      </c>
      <c r="J79" s="235">
        <v>1</v>
      </c>
      <c r="K79" s="237"/>
      <c r="L79" s="237">
        <f t="shared" ref="L79:L82" si="7">IF(F79="","",PRODUCT(F79:J79))</f>
        <v>2.415</v>
      </c>
      <c r="M79" s="111"/>
      <c r="N79" s="111"/>
      <c r="O79" s="111"/>
      <c r="P79" s="111"/>
    </row>
    <row r="80" spans="1:16" s="170" customFormat="1" x14ac:dyDescent="0.3">
      <c r="C80" s="114"/>
      <c r="D80" s="233" t="s">
        <v>438</v>
      </c>
      <c r="E80" s="234" t="s">
        <v>0</v>
      </c>
      <c r="F80" s="235">
        <v>1</v>
      </c>
      <c r="G80" s="236">
        <v>3.65</v>
      </c>
      <c r="H80" s="236"/>
      <c r="I80" s="236">
        <v>2.1</v>
      </c>
      <c r="J80" s="235">
        <v>1</v>
      </c>
      <c r="K80" s="237"/>
      <c r="L80" s="237">
        <f t="shared" si="7"/>
        <v>7.665</v>
      </c>
      <c r="M80" s="111"/>
      <c r="N80" s="111"/>
      <c r="O80" s="111"/>
      <c r="P80" s="111"/>
    </row>
    <row r="81" spans="3:16" s="170" customFormat="1" x14ac:dyDescent="0.3">
      <c r="C81" s="114"/>
      <c r="D81" s="233" t="s">
        <v>439</v>
      </c>
      <c r="E81" s="234" t="s">
        <v>0</v>
      </c>
      <c r="F81" s="235">
        <v>1</v>
      </c>
      <c r="G81" s="236">
        <v>1.1499999999999999</v>
      </c>
      <c r="H81" s="236"/>
      <c r="I81" s="236">
        <v>2.1</v>
      </c>
      <c r="J81" s="235">
        <v>1</v>
      </c>
      <c r="K81" s="237"/>
      <c r="L81" s="237">
        <f t="shared" si="7"/>
        <v>2.415</v>
      </c>
      <c r="M81" s="111"/>
      <c r="N81" s="111"/>
      <c r="O81" s="111"/>
      <c r="P81" s="111"/>
    </row>
    <row r="82" spans="3:16" s="170" customFormat="1" x14ac:dyDescent="0.3">
      <c r="C82" s="114"/>
      <c r="D82" s="233" t="s">
        <v>440</v>
      </c>
      <c r="E82" s="234" t="s">
        <v>0</v>
      </c>
      <c r="F82" s="235">
        <v>1</v>
      </c>
      <c r="G82" s="236">
        <v>3.65</v>
      </c>
      <c r="H82" s="236"/>
      <c r="I82" s="236">
        <v>2.1</v>
      </c>
      <c r="J82" s="235">
        <v>1</v>
      </c>
      <c r="K82" s="237"/>
      <c r="L82" s="237">
        <f t="shared" si="7"/>
        <v>7.665</v>
      </c>
      <c r="M82" s="111"/>
      <c r="N82" s="111"/>
      <c r="O82" s="111"/>
      <c r="P82" s="111"/>
    </row>
    <row r="83" spans="3:16" s="170" customFormat="1" x14ac:dyDescent="0.3">
      <c r="C83" s="114"/>
      <c r="D83" s="137" t="s">
        <v>444</v>
      </c>
      <c r="E83" s="121"/>
      <c r="F83" s="3"/>
      <c r="G83" s="122"/>
      <c r="H83" s="122"/>
      <c r="I83" s="122"/>
      <c r="J83" s="3"/>
      <c r="K83" s="113"/>
      <c r="L83" s="113"/>
      <c r="M83" s="111"/>
      <c r="N83" s="111"/>
      <c r="O83" s="111"/>
      <c r="P83" s="111"/>
    </row>
    <row r="84" spans="3:16" s="170" customFormat="1" x14ac:dyDescent="0.3">
      <c r="C84" s="114"/>
      <c r="D84" s="238" t="s">
        <v>445</v>
      </c>
      <c r="E84" s="234" t="s">
        <v>0</v>
      </c>
      <c r="F84" s="235">
        <v>2</v>
      </c>
      <c r="G84" s="236">
        <v>1.1499999999999999</v>
      </c>
      <c r="H84" s="236"/>
      <c r="I84" s="236">
        <v>1.95</v>
      </c>
      <c r="J84" s="235">
        <v>1</v>
      </c>
      <c r="K84" s="237"/>
      <c r="L84" s="237">
        <f t="shared" ref="L84" si="8">IF(F84="","",PRODUCT(F84:J84))</f>
        <v>4.4849999999999994</v>
      </c>
      <c r="M84" s="111"/>
      <c r="N84" s="111"/>
      <c r="O84" s="111"/>
      <c r="P84" s="111"/>
    </row>
    <row r="85" spans="3:16" s="170" customFormat="1" x14ac:dyDescent="0.3">
      <c r="C85" s="114"/>
      <c r="D85" s="115" t="s">
        <v>68</v>
      </c>
      <c r="E85" s="121"/>
      <c r="F85" s="3"/>
      <c r="G85" s="122"/>
      <c r="H85" s="122"/>
      <c r="I85" s="122"/>
      <c r="J85" s="3"/>
      <c r="K85" s="113"/>
      <c r="L85" s="113"/>
      <c r="M85" s="111"/>
      <c r="N85" s="111"/>
      <c r="O85" s="111"/>
      <c r="P85" s="111"/>
    </row>
    <row r="86" spans="3:16" s="170" customFormat="1" x14ac:dyDescent="0.3">
      <c r="C86" s="106"/>
      <c r="D86" s="137" t="s">
        <v>160</v>
      </c>
      <c r="E86" s="121"/>
      <c r="F86" s="3"/>
      <c r="G86" s="122"/>
      <c r="H86" s="122"/>
      <c r="I86" s="122"/>
      <c r="J86" s="3"/>
      <c r="K86" s="113"/>
      <c r="L86" s="113"/>
      <c r="M86" s="113"/>
      <c r="N86" s="113"/>
      <c r="O86" s="113"/>
      <c r="P86" s="113"/>
    </row>
    <row r="87" spans="3:16" s="170" customFormat="1" x14ac:dyDescent="0.3">
      <c r="C87" s="114"/>
      <c r="D87" s="233" t="s">
        <v>437</v>
      </c>
      <c r="E87" s="234" t="s">
        <v>0</v>
      </c>
      <c r="F87" s="235">
        <v>1</v>
      </c>
      <c r="G87" s="236">
        <v>1.1499999999999999</v>
      </c>
      <c r="H87" s="236"/>
      <c r="I87" s="236">
        <v>2.1</v>
      </c>
      <c r="J87" s="235">
        <v>1</v>
      </c>
      <c r="K87" s="237"/>
      <c r="L87" s="237">
        <f t="shared" ref="L87:L90" si="9">IF(F87="","",PRODUCT(F87:J87))</f>
        <v>2.415</v>
      </c>
      <c r="M87" s="111"/>
      <c r="N87" s="111"/>
      <c r="O87" s="111"/>
      <c r="P87" s="111"/>
    </row>
    <row r="88" spans="3:16" s="170" customFormat="1" x14ac:dyDescent="0.3">
      <c r="C88" s="114"/>
      <c r="D88" s="233" t="s">
        <v>438</v>
      </c>
      <c r="E88" s="234" t="s">
        <v>0</v>
      </c>
      <c r="F88" s="235">
        <v>1</v>
      </c>
      <c r="G88" s="236">
        <v>3.65</v>
      </c>
      <c r="H88" s="236"/>
      <c r="I88" s="236">
        <v>2.1</v>
      </c>
      <c r="J88" s="235">
        <v>1</v>
      </c>
      <c r="K88" s="237"/>
      <c r="L88" s="237">
        <f t="shared" si="9"/>
        <v>7.665</v>
      </c>
      <c r="M88" s="111"/>
      <c r="N88" s="111"/>
      <c r="O88" s="111"/>
      <c r="P88" s="111"/>
    </row>
    <row r="89" spans="3:16" s="170" customFormat="1" x14ac:dyDescent="0.3">
      <c r="C89" s="114"/>
      <c r="D89" s="233" t="s">
        <v>439</v>
      </c>
      <c r="E89" s="234" t="s">
        <v>0</v>
      </c>
      <c r="F89" s="235">
        <v>1</v>
      </c>
      <c r="G89" s="236">
        <v>1.1499999999999999</v>
      </c>
      <c r="H89" s="236"/>
      <c r="I89" s="236">
        <v>2.1</v>
      </c>
      <c r="J89" s="235">
        <v>1</v>
      </c>
      <c r="K89" s="237"/>
      <c r="L89" s="237">
        <f t="shared" si="9"/>
        <v>2.415</v>
      </c>
      <c r="M89" s="111"/>
      <c r="N89" s="111"/>
      <c r="O89" s="111"/>
      <c r="P89" s="111"/>
    </row>
    <row r="90" spans="3:16" s="170" customFormat="1" x14ac:dyDescent="0.3">
      <c r="C90" s="114"/>
      <c r="D90" s="233" t="s">
        <v>440</v>
      </c>
      <c r="E90" s="234" t="s">
        <v>0</v>
      </c>
      <c r="F90" s="235">
        <v>1</v>
      </c>
      <c r="G90" s="236">
        <v>3.65</v>
      </c>
      <c r="H90" s="236"/>
      <c r="I90" s="236">
        <v>2.1</v>
      </c>
      <c r="J90" s="235">
        <v>1</v>
      </c>
      <c r="K90" s="237"/>
      <c r="L90" s="237">
        <f t="shared" si="9"/>
        <v>7.665</v>
      </c>
      <c r="M90" s="111"/>
      <c r="N90" s="111"/>
      <c r="O90" s="111"/>
      <c r="P90" s="111"/>
    </row>
    <row r="91" spans="3:16" s="170" customFormat="1" x14ac:dyDescent="0.3">
      <c r="C91" s="114"/>
      <c r="D91" s="137" t="s">
        <v>444</v>
      </c>
      <c r="E91" s="121"/>
      <c r="F91" s="3"/>
      <c r="G91" s="122"/>
      <c r="H91" s="122"/>
      <c r="I91" s="122"/>
      <c r="J91" s="3"/>
      <c r="K91" s="113"/>
      <c r="L91" s="113"/>
      <c r="M91" s="111"/>
      <c r="N91" s="111"/>
      <c r="O91" s="111"/>
      <c r="P91" s="111"/>
    </row>
    <row r="92" spans="3:16" s="170" customFormat="1" x14ac:dyDescent="0.3">
      <c r="C92" s="114"/>
      <c r="D92" s="238" t="s">
        <v>445</v>
      </c>
      <c r="E92" s="234" t="s">
        <v>0</v>
      </c>
      <c r="F92" s="235">
        <v>2</v>
      </c>
      <c r="G92" s="236">
        <v>1.1499999999999999</v>
      </c>
      <c r="H92" s="236"/>
      <c r="I92" s="236">
        <v>1.95</v>
      </c>
      <c r="J92" s="235">
        <v>1</v>
      </c>
      <c r="K92" s="237"/>
      <c r="L92" s="237">
        <f t="shared" ref="L92" si="10">IF(F92="","",PRODUCT(F92:J92))</f>
        <v>4.4849999999999994</v>
      </c>
      <c r="M92" s="111"/>
      <c r="N92" s="111"/>
      <c r="O92" s="111"/>
      <c r="P92" s="111"/>
    </row>
    <row r="93" spans="3:16" s="170" customFormat="1" x14ac:dyDescent="0.3">
      <c r="C93" s="114"/>
      <c r="D93" s="115" t="s">
        <v>106</v>
      </c>
      <c r="E93" s="121"/>
      <c r="F93" s="3"/>
      <c r="G93" s="122"/>
      <c r="H93" s="122"/>
      <c r="I93" s="122"/>
      <c r="J93" s="3"/>
      <c r="K93" s="113"/>
      <c r="L93" s="113"/>
      <c r="M93" s="111"/>
      <c r="N93" s="111"/>
      <c r="O93" s="111"/>
      <c r="P93" s="111"/>
    </row>
    <row r="94" spans="3:16" s="170" customFormat="1" x14ac:dyDescent="0.3">
      <c r="C94" s="114"/>
      <c r="D94" s="137" t="s">
        <v>160</v>
      </c>
      <c r="E94" s="121"/>
      <c r="F94" s="3"/>
      <c r="G94" s="122"/>
      <c r="H94" s="122"/>
      <c r="I94" s="122"/>
      <c r="J94" s="3"/>
      <c r="K94" s="113"/>
      <c r="L94" s="113"/>
      <c r="M94" s="111"/>
      <c r="N94" s="111"/>
      <c r="O94" s="111"/>
      <c r="P94" s="111"/>
    </row>
    <row r="95" spans="3:16" s="170" customFormat="1" x14ac:dyDescent="0.3">
      <c r="C95" s="114"/>
      <c r="D95" s="233" t="s">
        <v>437</v>
      </c>
      <c r="E95" s="234" t="s">
        <v>0</v>
      </c>
      <c r="F95" s="235">
        <v>1</v>
      </c>
      <c r="G95" s="236">
        <v>1.1499999999999999</v>
      </c>
      <c r="H95" s="236"/>
      <c r="I95" s="236">
        <v>2.1</v>
      </c>
      <c r="J95" s="235">
        <v>1</v>
      </c>
      <c r="K95" s="237"/>
      <c r="L95" s="237">
        <f t="shared" ref="L95:L98" si="11">IF(F95="","",PRODUCT(F95:J95))</f>
        <v>2.415</v>
      </c>
      <c r="M95" s="111"/>
      <c r="N95" s="111"/>
      <c r="O95" s="111"/>
      <c r="P95" s="111"/>
    </row>
    <row r="96" spans="3:16" s="170" customFormat="1" x14ac:dyDescent="0.3">
      <c r="C96" s="114"/>
      <c r="D96" s="233" t="s">
        <v>438</v>
      </c>
      <c r="E96" s="234" t="s">
        <v>0</v>
      </c>
      <c r="F96" s="235">
        <v>1</v>
      </c>
      <c r="G96" s="236">
        <v>3.65</v>
      </c>
      <c r="H96" s="236"/>
      <c r="I96" s="236">
        <v>2.1</v>
      </c>
      <c r="J96" s="235">
        <v>1</v>
      </c>
      <c r="K96" s="237"/>
      <c r="L96" s="237">
        <f t="shared" si="11"/>
        <v>7.665</v>
      </c>
      <c r="M96" s="111"/>
      <c r="N96" s="111"/>
      <c r="O96" s="111"/>
      <c r="P96" s="111"/>
    </row>
    <row r="97" spans="1:16" s="170" customFormat="1" x14ac:dyDescent="0.3">
      <c r="C97" s="114"/>
      <c r="D97" s="233" t="s">
        <v>439</v>
      </c>
      <c r="E97" s="234" t="s">
        <v>0</v>
      </c>
      <c r="F97" s="235">
        <v>1</v>
      </c>
      <c r="G97" s="236">
        <v>1.1499999999999999</v>
      </c>
      <c r="H97" s="236"/>
      <c r="I97" s="236">
        <v>2.1</v>
      </c>
      <c r="J97" s="235">
        <v>1</v>
      </c>
      <c r="K97" s="237"/>
      <c r="L97" s="237">
        <f t="shared" si="11"/>
        <v>2.415</v>
      </c>
      <c r="M97" s="111"/>
      <c r="N97" s="111"/>
      <c r="O97" s="111"/>
      <c r="P97" s="111"/>
    </row>
    <row r="98" spans="1:16" s="170" customFormat="1" x14ac:dyDescent="0.3">
      <c r="C98" s="114"/>
      <c r="D98" s="233" t="s">
        <v>440</v>
      </c>
      <c r="E98" s="234" t="s">
        <v>0</v>
      </c>
      <c r="F98" s="235">
        <v>1</v>
      </c>
      <c r="G98" s="236">
        <v>3.65</v>
      </c>
      <c r="H98" s="236"/>
      <c r="I98" s="236">
        <v>2.1</v>
      </c>
      <c r="J98" s="235">
        <v>1</v>
      </c>
      <c r="K98" s="237"/>
      <c r="L98" s="237">
        <f t="shared" si="11"/>
        <v>7.665</v>
      </c>
      <c r="M98" s="111"/>
      <c r="N98" s="111"/>
      <c r="O98" s="111"/>
      <c r="P98" s="111"/>
    </row>
    <row r="99" spans="1:16" s="170" customFormat="1" x14ac:dyDescent="0.3">
      <c r="C99" s="114"/>
      <c r="D99" s="137" t="s">
        <v>444</v>
      </c>
      <c r="E99" s="121"/>
      <c r="F99" s="3"/>
      <c r="G99" s="122"/>
      <c r="H99" s="122"/>
      <c r="I99" s="122"/>
      <c r="J99" s="3"/>
      <c r="K99" s="113"/>
      <c r="L99" s="113"/>
      <c r="M99" s="111"/>
      <c r="N99" s="111"/>
      <c r="O99" s="111"/>
      <c r="P99" s="111"/>
    </row>
    <row r="100" spans="1:16" s="170" customFormat="1" x14ac:dyDescent="0.3">
      <c r="C100" s="114"/>
      <c r="D100" s="238" t="s">
        <v>445</v>
      </c>
      <c r="E100" s="234" t="s">
        <v>0</v>
      </c>
      <c r="F100" s="235">
        <v>2</v>
      </c>
      <c r="G100" s="236">
        <v>1.1499999999999999</v>
      </c>
      <c r="H100" s="236"/>
      <c r="I100" s="236">
        <v>1.95</v>
      </c>
      <c r="J100" s="235">
        <v>1</v>
      </c>
      <c r="K100" s="237"/>
      <c r="L100" s="237">
        <f t="shared" ref="L100" si="12">IF(F100="","",PRODUCT(F100:J100))</f>
        <v>4.4849999999999994</v>
      </c>
      <c r="M100" s="111"/>
      <c r="N100" s="111"/>
      <c r="O100" s="111"/>
      <c r="P100" s="111"/>
    </row>
    <row r="101" spans="1:16" s="170" customFormat="1" x14ac:dyDescent="0.3">
      <c r="C101" s="106"/>
      <c r="D101" s="115"/>
      <c r="E101" s="121"/>
      <c r="F101" s="3"/>
      <c r="G101" s="122"/>
      <c r="H101" s="122"/>
      <c r="I101" s="122"/>
      <c r="J101" s="3"/>
      <c r="K101" s="113"/>
      <c r="L101" s="113"/>
      <c r="M101" s="113"/>
      <c r="N101" s="113"/>
      <c r="O101" s="113"/>
      <c r="P101" s="113"/>
    </row>
    <row r="102" spans="1:16" s="170" customFormat="1" x14ac:dyDescent="0.3">
      <c r="C102" s="99" t="s">
        <v>1182</v>
      </c>
      <c r="D102" s="226" t="s">
        <v>520</v>
      </c>
      <c r="E102" s="101" t="s">
        <v>0</v>
      </c>
      <c r="F102" s="1"/>
      <c r="G102" s="2"/>
      <c r="H102" s="2"/>
      <c r="I102" s="2"/>
      <c r="J102" s="3"/>
      <c r="K102" s="103"/>
      <c r="L102" s="103"/>
      <c r="M102" s="103"/>
      <c r="N102" s="103"/>
      <c r="O102" s="103"/>
      <c r="P102" s="103">
        <f>SUM(L102:L169)</f>
        <v>316.33349999999984</v>
      </c>
    </row>
    <row r="103" spans="1:16" s="170" customFormat="1" x14ac:dyDescent="0.3">
      <c r="C103" s="106"/>
      <c r="D103" s="115" t="s">
        <v>127</v>
      </c>
      <c r="E103" s="121"/>
      <c r="F103" s="3"/>
      <c r="G103" s="122" t="s">
        <v>198</v>
      </c>
      <c r="H103" s="122"/>
      <c r="I103" s="122"/>
      <c r="J103" s="3"/>
      <c r="K103" s="113"/>
      <c r="L103" s="113"/>
      <c r="M103" s="113"/>
      <c r="N103" s="113"/>
      <c r="O103" s="113"/>
      <c r="P103" s="113"/>
    </row>
    <row r="104" spans="1:16" s="170" customFormat="1" x14ac:dyDescent="0.3">
      <c r="C104" s="114"/>
      <c r="D104" s="233" t="s">
        <v>452</v>
      </c>
      <c r="E104" s="234" t="s">
        <v>0</v>
      </c>
      <c r="F104" s="235">
        <v>1</v>
      </c>
      <c r="G104" s="236">
        <v>1.79</v>
      </c>
      <c r="H104" s="236"/>
      <c r="I104" s="236">
        <v>2.95</v>
      </c>
      <c r="J104" s="235">
        <v>1</v>
      </c>
      <c r="K104" s="237"/>
      <c r="L104" s="237">
        <f t="shared" ref="L104:L124" si="13">IF(F104="","",PRODUCT(F104:J104))</f>
        <v>5.2805000000000009</v>
      </c>
      <c r="M104" s="111"/>
      <c r="N104" s="111"/>
      <c r="O104" s="111"/>
      <c r="P104" s="111"/>
    </row>
    <row r="105" spans="1:16" s="170" customFormat="1" x14ac:dyDescent="0.3">
      <c r="C105" s="114"/>
      <c r="D105" s="233" t="s">
        <v>453</v>
      </c>
      <c r="E105" s="234" t="s">
        <v>0</v>
      </c>
      <c r="F105" s="235">
        <v>1</v>
      </c>
      <c r="G105" s="236">
        <v>1.59</v>
      </c>
      <c r="H105" s="236"/>
      <c r="I105" s="236">
        <v>2.95</v>
      </c>
      <c r="J105" s="235">
        <v>1</v>
      </c>
      <c r="K105" s="237"/>
      <c r="L105" s="237">
        <f t="shared" si="13"/>
        <v>4.6905000000000001</v>
      </c>
      <c r="M105" s="111"/>
      <c r="N105" s="111"/>
      <c r="O105" s="111"/>
      <c r="P105" s="111"/>
    </row>
    <row r="106" spans="1:16" s="170" customFormat="1" x14ac:dyDescent="0.3">
      <c r="A106" s="170">
        <v>3</v>
      </c>
      <c r="C106" s="114"/>
      <c r="D106" s="233" t="s">
        <v>454</v>
      </c>
      <c r="E106" s="234" t="s">
        <v>0</v>
      </c>
      <c r="F106" s="235">
        <v>1</v>
      </c>
      <c r="G106" s="236">
        <f>1.97+1.76</f>
        <v>3.73</v>
      </c>
      <c r="H106" s="236"/>
      <c r="I106" s="236">
        <v>2.95</v>
      </c>
      <c r="J106" s="235">
        <v>1</v>
      </c>
      <c r="K106" s="237"/>
      <c r="L106" s="237">
        <f t="shared" si="13"/>
        <v>11.003500000000001</v>
      </c>
      <c r="M106" s="111"/>
      <c r="N106" s="111"/>
      <c r="O106" s="111"/>
      <c r="P106" s="111"/>
    </row>
    <row r="107" spans="1:16" s="217" customFormat="1" x14ac:dyDescent="0.2">
      <c r="A107" s="215"/>
      <c r="B107" s="216"/>
      <c r="C107" s="114"/>
      <c r="D107" s="233" t="s">
        <v>455</v>
      </c>
      <c r="E107" s="234" t="s">
        <v>0</v>
      </c>
      <c r="F107" s="235">
        <v>1</v>
      </c>
      <c r="G107" s="236">
        <v>1.59</v>
      </c>
      <c r="H107" s="236"/>
      <c r="I107" s="236">
        <v>2.95</v>
      </c>
      <c r="J107" s="235">
        <v>1</v>
      </c>
      <c r="K107" s="237"/>
      <c r="L107" s="237">
        <f t="shared" si="13"/>
        <v>4.6905000000000001</v>
      </c>
      <c r="M107" s="111"/>
      <c r="N107" s="111"/>
      <c r="O107" s="111"/>
      <c r="P107" s="111"/>
    </row>
    <row r="108" spans="1:16" s="217" customFormat="1" x14ac:dyDescent="0.2">
      <c r="A108" s="215"/>
      <c r="B108" s="216"/>
      <c r="C108" s="114"/>
      <c r="D108" s="233" t="s">
        <v>456</v>
      </c>
      <c r="E108" s="234" t="s">
        <v>0</v>
      </c>
      <c r="F108" s="235">
        <v>1</v>
      </c>
      <c r="G108" s="236">
        <f>2.7+0.7</f>
        <v>3.4000000000000004</v>
      </c>
      <c r="H108" s="236"/>
      <c r="I108" s="236">
        <v>2.95</v>
      </c>
      <c r="J108" s="235">
        <v>1</v>
      </c>
      <c r="K108" s="237"/>
      <c r="L108" s="237">
        <f t="shared" si="13"/>
        <v>10.030000000000001</v>
      </c>
      <c r="M108" s="111"/>
      <c r="N108" s="111"/>
      <c r="O108" s="111"/>
      <c r="P108" s="111"/>
    </row>
    <row r="109" spans="1:16" s="217" customFormat="1" x14ac:dyDescent="0.2">
      <c r="A109" s="215"/>
      <c r="B109" s="216"/>
      <c r="C109" s="114"/>
      <c r="D109" s="233" t="s">
        <v>457</v>
      </c>
      <c r="E109" s="234" t="s">
        <v>0</v>
      </c>
      <c r="F109" s="235">
        <v>1</v>
      </c>
      <c r="G109" s="236">
        <v>1.1000000000000001</v>
      </c>
      <c r="H109" s="236"/>
      <c r="I109" s="236">
        <v>3.25</v>
      </c>
      <c r="J109" s="235">
        <v>1</v>
      </c>
      <c r="K109" s="237"/>
      <c r="L109" s="237">
        <f t="shared" si="13"/>
        <v>3.5750000000000002</v>
      </c>
      <c r="M109" s="111"/>
      <c r="N109" s="111"/>
      <c r="O109" s="111"/>
      <c r="P109" s="111"/>
    </row>
    <row r="110" spans="1:16" s="217" customFormat="1" x14ac:dyDescent="0.2">
      <c r="A110" s="215"/>
      <c r="B110" s="216"/>
      <c r="C110" s="114"/>
      <c r="D110" s="233" t="s">
        <v>458</v>
      </c>
      <c r="E110" s="234" t="s">
        <v>0</v>
      </c>
      <c r="F110" s="235">
        <v>1</v>
      </c>
      <c r="G110" s="236">
        <v>1.55</v>
      </c>
      <c r="H110" s="236"/>
      <c r="I110" s="236">
        <v>2.95</v>
      </c>
      <c r="J110" s="235">
        <v>1</v>
      </c>
      <c r="K110" s="237"/>
      <c r="L110" s="237">
        <f t="shared" si="13"/>
        <v>4.5725000000000007</v>
      </c>
      <c r="M110" s="111"/>
      <c r="N110" s="111"/>
      <c r="O110" s="111"/>
      <c r="P110" s="111"/>
    </row>
    <row r="111" spans="1:16" s="217" customFormat="1" x14ac:dyDescent="0.2">
      <c r="A111" s="215"/>
      <c r="B111" s="216"/>
      <c r="C111" s="114"/>
      <c r="D111" s="233" t="s">
        <v>459</v>
      </c>
      <c r="E111" s="234" t="s">
        <v>0</v>
      </c>
      <c r="F111" s="235">
        <v>1</v>
      </c>
      <c r="G111" s="236">
        <v>1.1000000000000001</v>
      </c>
      <c r="H111" s="236"/>
      <c r="I111" s="236">
        <v>3.25</v>
      </c>
      <c r="J111" s="235">
        <v>1</v>
      </c>
      <c r="K111" s="237"/>
      <c r="L111" s="237">
        <f t="shared" si="13"/>
        <v>3.5750000000000002</v>
      </c>
      <c r="M111" s="111"/>
      <c r="N111" s="111"/>
      <c r="O111" s="111"/>
      <c r="P111" s="111"/>
    </row>
    <row r="112" spans="1:16" s="217" customFormat="1" x14ac:dyDescent="0.2">
      <c r="A112" s="215"/>
      <c r="B112" s="216"/>
      <c r="C112" s="114"/>
      <c r="D112" s="233" t="s">
        <v>460</v>
      </c>
      <c r="E112" s="234" t="s">
        <v>0</v>
      </c>
      <c r="F112" s="235">
        <v>1</v>
      </c>
      <c r="G112" s="236">
        <f>2.43+2.68</f>
        <v>5.1100000000000003</v>
      </c>
      <c r="H112" s="236"/>
      <c r="I112" s="236">
        <v>2.95</v>
      </c>
      <c r="J112" s="235">
        <v>1</v>
      </c>
      <c r="K112" s="237"/>
      <c r="L112" s="237">
        <f t="shared" si="13"/>
        <v>15.074500000000002</v>
      </c>
      <c r="M112" s="111"/>
      <c r="N112" s="111"/>
      <c r="O112" s="111"/>
      <c r="P112" s="111"/>
    </row>
    <row r="113" spans="1:16" s="217" customFormat="1" x14ac:dyDescent="0.2">
      <c r="A113" s="215"/>
      <c r="B113" s="216"/>
      <c r="C113" s="114"/>
      <c r="D113" s="233" t="s">
        <v>461</v>
      </c>
      <c r="E113" s="234" t="s">
        <v>0</v>
      </c>
      <c r="F113" s="235">
        <v>1</v>
      </c>
      <c r="G113" s="236">
        <v>1.1000000000000001</v>
      </c>
      <c r="H113" s="236"/>
      <c r="I113" s="236">
        <v>3.25</v>
      </c>
      <c r="J113" s="235">
        <v>1</v>
      </c>
      <c r="K113" s="237"/>
      <c r="L113" s="237">
        <f t="shared" si="13"/>
        <v>3.5750000000000002</v>
      </c>
      <c r="M113" s="111"/>
      <c r="N113" s="111"/>
      <c r="O113" s="111"/>
      <c r="P113" s="111"/>
    </row>
    <row r="114" spans="1:16" s="217" customFormat="1" x14ac:dyDescent="0.2">
      <c r="A114" s="215"/>
      <c r="B114" s="216"/>
      <c r="C114" s="114"/>
      <c r="D114" s="233" t="s">
        <v>462</v>
      </c>
      <c r="E114" s="234" t="s">
        <v>0</v>
      </c>
      <c r="F114" s="235">
        <v>1</v>
      </c>
      <c r="G114" s="236">
        <v>1.55</v>
      </c>
      <c r="H114" s="236"/>
      <c r="I114" s="236">
        <v>2.95</v>
      </c>
      <c r="J114" s="235">
        <v>1</v>
      </c>
      <c r="K114" s="237"/>
      <c r="L114" s="237">
        <f t="shared" si="13"/>
        <v>4.5725000000000007</v>
      </c>
      <c r="M114" s="111"/>
      <c r="N114" s="111"/>
      <c r="O114" s="111"/>
      <c r="P114" s="111"/>
    </row>
    <row r="115" spans="1:16" s="217" customFormat="1" x14ac:dyDescent="0.2">
      <c r="A115" s="215"/>
      <c r="B115" s="216"/>
      <c r="C115" s="114"/>
      <c r="D115" s="233" t="s">
        <v>463</v>
      </c>
      <c r="E115" s="234" t="s">
        <v>0</v>
      </c>
      <c r="F115" s="235">
        <v>1</v>
      </c>
      <c r="G115" s="236">
        <f>2.45+0.7</f>
        <v>3.1500000000000004</v>
      </c>
      <c r="H115" s="236"/>
      <c r="I115" s="236">
        <v>2.95</v>
      </c>
      <c r="J115" s="235">
        <v>1</v>
      </c>
      <c r="K115" s="237"/>
      <c r="L115" s="237">
        <f t="shared" si="13"/>
        <v>9.2925000000000022</v>
      </c>
      <c r="M115" s="111"/>
      <c r="N115" s="111"/>
      <c r="O115" s="111"/>
      <c r="P115" s="111"/>
    </row>
    <row r="116" spans="1:16" s="217" customFormat="1" x14ac:dyDescent="0.2">
      <c r="A116" s="215"/>
      <c r="B116" s="216"/>
      <c r="C116" s="114"/>
      <c r="D116" s="233" t="s">
        <v>464</v>
      </c>
      <c r="E116" s="234" t="s">
        <v>0</v>
      </c>
      <c r="F116" s="235">
        <v>1</v>
      </c>
      <c r="G116" s="236" t="s">
        <v>465</v>
      </c>
      <c r="H116" s="236">
        <v>0.6</v>
      </c>
      <c r="I116" s="236">
        <v>3.25</v>
      </c>
      <c r="J116" s="235">
        <v>1</v>
      </c>
      <c r="K116" s="237"/>
      <c r="L116" s="237">
        <f t="shared" si="13"/>
        <v>1.95</v>
      </c>
      <c r="M116" s="111"/>
      <c r="N116" s="111"/>
      <c r="O116" s="111"/>
      <c r="P116" s="111"/>
    </row>
    <row r="117" spans="1:16" s="217" customFormat="1" x14ac:dyDescent="0.2">
      <c r="A117" s="215"/>
      <c r="B117" s="216"/>
      <c r="C117" s="114"/>
      <c r="D117" s="233" t="s">
        <v>466</v>
      </c>
      <c r="E117" s="234" t="s">
        <v>0</v>
      </c>
      <c r="F117" s="235">
        <v>1</v>
      </c>
      <c r="G117" s="236" t="s">
        <v>465</v>
      </c>
      <c r="H117" s="236">
        <v>0.95</v>
      </c>
      <c r="I117" s="236">
        <v>3.25</v>
      </c>
      <c r="J117" s="235">
        <v>1</v>
      </c>
      <c r="K117" s="237"/>
      <c r="L117" s="237">
        <f t="shared" si="13"/>
        <v>3.0874999999999999</v>
      </c>
      <c r="M117" s="111"/>
      <c r="N117" s="111"/>
      <c r="O117" s="111"/>
      <c r="P117" s="111"/>
    </row>
    <row r="118" spans="1:16" s="217" customFormat="1" x14ac:dyDescent="0.2">
      <c r="A118" s="215"/>
      <c r="B118" s="216"/>
      <c r="C118" s="114"/>
      <c r="D118" s="233" t="s">
        <v>467</v>
      </c>
      <c r="E118" s="234" t="s">
        <v>0</v>
      </c>
      <c r="F118" s="235">
        <v>1</v>
      </c>
      <c r="G118" s="236" t="s">
        <v>465</v>
      </c>
      <c r="H118" s="236">
        <v>0.95</v>
      </c>
      <c r="I118" s="236">
        <v>3.25</v>
      </c>
      <c r="J118" s="235">
        <v>1</v>
      </c>
      <c r="K118" s="237"/>
      <c r="L118" s="237">
        <f t="shared" si="13"/>
        <v>3.0874999999999999</v>
      </c>
      <c r="M118" s="111"/>
      <c r="N118" s="111"/>
      <c r="O118" s="111"/>
      <c r="P118" s="111"/>
    </row>
    <row r="119" spans="1:16" s="217" customFormat="1" x14ac:dyDescent="0.2">
      <c r="A119" s="215"/>
      <c r="B119" s="216"/>
      <c r="C119" s="114"/>
      <c r="D119" s="233" t="s">
        <v>468</v>
      </c>
      <c r="E119" s="234" t="s">
        <v>0</v>
      </c>
      <c r="F119" s="235">
        <v>1</v>
      </c>
      <c r="G119" s="236" t="s">
        <v>465</v>
      </c>
      <c r="H119" s="236">
        <v>0.95</v>
      </c>
      <c r="I119" s="236">
        <v>3.25</v>
      </c>
      <c r="J119" s="235">
        <v>1</v>
      </c>
      <c r="K119" s="237"/>
      <c r="L119" s="237">
        <f t="shared" si="13"/>
        <v>3.0874999999999999</v>
      </c>
      <c r="M119" s="111"/>
      <c r="N119" s="111"/>
      <c r="O119" s="111"/>
      <c r="P119" s="111"/>
    </row>
    <row r="120" spans="1:16" s="170" customFormat="1" x14ac:dyDescent="0.3">
      <c r="C120" s="114"/>
      <c r="D120" s="233" t="s">
        <v>469</v>
      </c>
      <c r="E120" s="234" t="s">
        <v>0</v>
      </c>
      <c r="F120" s="235">
        <v>1</v>
      </c>
      <c r="G120" s="236" t="s">
        <v>465</v>
      </c>
      <c r="H120" s="236">
        <v>0.95</v>
      </c>
      <c r="I120" s="236">
        <v>3.25</v>
      </c>
      <c r="J120" s="235">
        <v>1</v>
      </c>
      <c r="K120" s="237"/>
      <c r="L120" s="237">
        <f t="shared" si="13"/>
        <v>3.0874999999999999</v>
      </c>
      <c r="M120" s="111"/>
      <c r="N120" s="111"/>
      <c r="O120" s="111"/>
      <c r="P120" s="111"/>
    </row>
    <row r="121" spans="1:16" s="170" customFormat="1" x14ac:dyDescent="0.3">
      <c r="C121" s="114"/>
      <c r="D121" s="233" t="s">
        <v>470</v>
      </c>
      <c r="E121" s="234" t="s">
        <v>0</v>
      </c>
      <c r="F121" s="235">
        <v>1</v>
      </c>
      <c r="G121" s="236" t="s">
        <v>465</v>
      </c>
      <c r="H121" s="236">
        <v>0.95</v>
      </c>
      <c r="I121" s="236">
        <v>3.25</v>
      </c>
      <c r="J121" s="235">
        <v>1</v>
      </c>
      <c r="K121" s="237"/>
      <c r="L121" s="237">
        <f t="shared" si="13"/>
        <v>3.0874999999999999</v>
      </c>
      <c r="M121" s="111"/>
      <c r="N121" s="111"/>
      <c r="O121" s="111"/>
      <c r="P121" s="111"/>
    </row>
    <row r="122" spans="1:16" s="170" customFormat="1" x14ac:dyDescent="0.3">
      <c r="C122" s="114"/>
      <c r="D122" s="233" t="s">
        <v>471</v>
      </c>
      <c r="E122" s="234" t="s">
        <v>0</v>
      </c>
      <c r="F122" s="235">
        <v>1</v>
      </c>
      <c r="G122" s="236" t="s">
        <v>465</v>
      </c>
      <c r="H122" s="236">
        <v>0.95</v>
      </c>
      <c r="I122" s="236">
        <v>3.25</v>
      </c>
      <c r="J122" s="235">
        <v>1</v>
      </c>
      <c r="K122" s="237"/>
      <c r="L122" s="237">
        <f t="shared" si="13"/>
        <v>3.0874999999999999</v>
      </c>
      <c r="M122" s="111"/>
      <c r="N122" s="111"/>
      <c r="O122" s="111"/>
      <c r="P122" s="111"/>
    </row>
    <row r="123" spans="1:16" s="170" customFormat="1" x14ac:dyDescent="0.3">
      <c r="C123" s="114"/>
      <c r="D123" s="233" t="s">
        <v>472</v>
      </c>
      <c r="E123" s="234" t="s">
        <v>0</v>
      </c>
      <c r="F123" s="235">
        <v>1</v>
      </c>
      <c r="G123" s="236" t="s">
        <v>465</v>
      </c>
      <c r="H123" s="236">
        <v>0.95</v>
      </c>
      <c r="I123" s="236">
        <v>3.25</v>
      </c>
      <c r="J123" s="235">
        <v>1</v>
      </c>
      <c r="K123" s="237"/>
      <c r="L123" s="237">
        <f t="shared" si="13"/>
        <v>3.0874999999999999</v>
      </c>
      <c r="M123" s="111"/>
      <c r="N123" s="111"/>
      <c r="O123" s="111"/>
      <c r="P123" s="111"/>
    </row>
    <row r="124" spans="1:16" s="170" customFormat="1" x14ac:dyDescent="0.3">
      <c r="C124" s="114"/>
      <c r="D124" s="233" t="s">
        <v>473</v>
      </c>
      <c r="E124" s="234" t="s">
        <v>0</v>
      </c>
      <c r="F124" s="235">
        <v>1</v>
      </c>
      <c r="G124" s="236" t="s">
        <v>465</v>
      </c>
      <c r="H124" s="236">
        <v>0.6</v>
      </c>
      <c r="I124" s="236">
        <v>3.25</v>
      </c>
      <c r="J124" s="235">
        <v>1</v>
      </c>
      <c r="K124" s="237"/>
      <c r="L124" s="237">
        <f t="shared" si="13"/>
        <v>1.95</v>
      </c>
      <c r="M124" s="111"/>
      <c r="N124" s="111"/>
      <c r="O124" s="111"/>
      <c r="P124" s="111"/>
    </row>
    <row r="125" spans="1:16" s="170" customFormat="1" x14ac:dyDescent="0.3">
      <c r="C125" s="106"/>
      <c r="D125" s="115" t="s">
        <v>68</v>
      </c>
      <c r="E125" s="121"/>
      <c r="F125" s="3"/>
      <c r="G125" s="122" t="s">
        <v>198</v>
      </c>
      <c r="H125" s="122"/>
      <c r="I125" s="122"/>
      <c r="J125" s="3"/>
      <c r="K125" s="113"/>
      <c r="L125" s="113"/>
      <c r="M125" s="113"/>
      <c r="N125" s="113"/>
      <c r="O125" s="113"/>
      <c r="P125" s="113"/>
    </row>
    <row r="126" spans="1:16" s="170" customFormat="1" x14ac:dyDescent="0.3">
      <c r="C126" s="114"/>
      <c r="D126" s="233" t="s">
        <v>452</v>
      </c>
      <c r="E126" s="234" t="s">
        <v>0</v>
      </c>
      <c r="F126" s="235">
        <v>1</v>
      </c>
      <c r="G126" s="236">
        <v>1.79</v>
      </c>
      <c r="H126" s="236"/>
      <c r="I126" s="236">
        <v>2.95</v>
      </c>
      <c r="J126" s="235">
        <v>1</v>
      </c>
      <c r="K126" s="237"/>
      <c r="L126" s="237">
        <f t="shared" ref="L126:L146" si="14">IF(F126="","",PRODUCT(F126:J126))</f>
        <v>5.2805000000000009</v>
      </c>
      <c r="M126" s="111"/>
      <c r="N126" s="111"/>
      <c r="O126" s="111"/>
      <c r="P126" s="111"/>
    </row>
    <row r="127" spans="1:16" s="170" customFormat="1" x14ac:dyDescent="0.3">
      <c r="C127" s="114"/>
      <c r="D127" s="233" t="s">
        <v>453</v>
      </c>
      <c r="E127" s="234" t="s">
        <v>0</v>
      </c>
      <c r="F127" s="235">
        <v>1</v>
      </c>
      <c r="G127" s="236">
        <v>1.59</v>
      </c>
      <c r="H127" s="236"/>
      <c r="I127" s="236">
        <v>2.95</v>
      </c>
      <c r="J127" s="235">
        <v>1</v>
      </c>
      <c r="K127" s="237"/>
      <c r="L127" s="237">
        <f t="shared" si="14"/>
        <v>4.6905000000000001</v>
      </c>
      <c r="M127" s="111"/>
      <c r="N127" s="111"/>
      <c r="O127" s="111"/>
      <c r="P127" s="111"/>
    </row>
    <row r="128" spans="1:16" s="170" customFormat="1" x14ac:dyDescent="0.3">
      <c r="C128" s="114"/>
      <c r="D128" s="233" t="s">
        <v>454</v>
      </c>
      <c r="E128" s="234" t="s">
        <v>0</v>
      </c>
      <c r="F128" s="235">
        <v>1</v>
      </c>
      <c r="G128" s="236">
        <f>1.97+1.76</f>
        <v>3.73</v>
      </c>
      <c r="H128" s="236"/>
      <c r="I128" s="236">
        <v>2.95</v>
      </c>
      <c r="J128" s="235">
        <v>1</v>
      </c>
      <c r="K128" s="237"/>
      <c r="L128" s="237">
        <f t="shared" si="14"/>
        <v>11.003500000000001</v>
      </c>
      <c r="M128" s="111"/>
      <c r="N128" s="111"/>
      <c r="O128" s="111"/>
      <c r="P128" s="111"/>
    </row>
    <row r="129" spans="1:16" s="170" customFormat="1" x14ac:dyDescent="0.3">
      <c r="C129" s="114"/>
      <c r="D129" s="233" t="s">
        <v>455</v>
      </c>
      <c r="E129" s="234" t="s">
        <v>0</v>
      </c>
      <c r="F129" s="235">
        <v>1</v>
      </c>
      <c r="G129" s="236">
        <v>1.59</v>
      </c>
      <c r="H129" s="236"/>
      <c r="I129" s="236">
        <v>2.95</v>
      </c>
      <c r="J129" s="235">
        <v>1</v>
      </c>
      <c r="K129" s="237"/>
      <c r="L129" s="237">
        <f t="shared" si="14"/>
        <v>4.6905000000000001</v>
      </c>
      <c r="M129" s="111"/>
      <c r="N129" s="111"/>
      <c r="O129" s="111"/>
      <c r="P129" s="111"/>
    </row>
    <row r="130" spans="1:16" s="170" customFormat="1" x14ac:dyDescent="0.3">
      <c r="C130" s="114"/>
      <c r="D130" s="233" t="s">
        <v>456</v>
      </c>
      <c r="E130" s="234" t="s">
        <v>0</v>
      </c>
      <c r="F130" s="235">
        <v>1</v>
      </c>
      <c r="G130" s="236">
        <f>2.7+0.7</f>
        <v>3.4000000000000004</v>
      </c>
      <c r="H130" s="236"/>
      <c r="I130" s="236">
        <v>2.95</v>
      </c>
      <c r="J130" s="235">
        <v>1</v>
      </c>
      <c r="K130" s="237"/>
      <c r="L130" s="237">
        <f t="shared" si="14"/>
        <v>10.030000000000001</v>
      </c>
      <c r="M130" s="111"/>
      <c r="N130" s="111"/>
      <c r="O130" s="111"/>
      <c r="P130" s="111"/>
    </row>
    <row r="131" spans="1:16" s="170" customFormat="1" x14ac:dyDescent="0.3">
      <c r="C131" s="114"/>
      <c r="D131" s="233" t="s">
        <v>457</v>
      </c>
      <c r="E131" s="234" t="s">
        <v>0</v>
      </c>
      <c r="F131" s="235">
        <v>1</v>
      </c>
      <c r="G131" s="236">
        <v>1.1000000000000001</v>
      </c>
      <c r="H131" s="236"/>
      <c r="I131" s="236">
        <v>3.25</v>
      </c>
      <c r="J131" s="235">
        <v>1</v>
      </c>
      <c r="K131" s="237"/>
      <c r="L131" s="237">
        <f t="shared" si="14"/>
        <v>3.5750000000000002</v>
      </c>
      <c r="M131" s="111"/>
      <c r="N131" s="111"/>
      <c r="O131" s="111"/>
      <c r="P131" s="111"/>
    </row>
    <row r="132" spans="1:16" s="217" customFormat="1" x14ac:dyDescent="0.2">
      <c r="A132" s="215"/>
      <c r="B132" s="216"/>
      <c r="C132" s="114"/>
      <c r="D132" s="233" t="s">
        <v>458</v>
      </c>
      <c r="E132" s="234" t="s">
        <v>0</v>
      </c>
      <c r="F132" s="235">
        <v>1</v>
      </c>
      <c r="G132" s="236">
        <v>1.55</v>
      </c>
      <c r="H132" s="236"/>
      <c r="I132" s="236">
        <v>2.95</v>
      </c>
      <c r="J132" s="235">
        <v>1</v>
      </c>
      <c r="K132" s="237"/>
      <c r="L132" s="237">
        <f t="shared" si="14"/>
        <v>4.5725000000000007</v>
      </c>
      <c r="M132" s="111"/>
      <c r="N132" s="111"/>
      <c r="O132" s="111"/>
      <c r="P132" s="111"/>
    </row>
    <row r="133" spans="1:16" s="217" customFormat="1" x14ac:dyDescent="0.2">
      <c r="A133" s="215"/>
      <c r="B133" s="216"/>
      <c r="C133" s="114"/>
      <c r="D133" s="233" t="s">
        <v>459</v>
      </c>
      <c r="E133" s="234" t="s">
        <v>0</v>
      </c>
      <c r="F133" s="235">
        <v>1</v>
      </c>
      <c r="G133" s="236">
        <v>1.1000000000000001</v>
      </c>
      <c r="H133" s="236"/>
      <c r="I133" s="236">
        <v>3.25</v>
      </c>
      <c r="J133" s="235">
        <v>1</v>
      </c>
      <c r="K133" s="237"/>
      <c r="L133" s="237">
        <f t="shared" si="14"/>
        <v>3.5750000000000002</v>
      </c>
      <c r="M133" s="111"/>
      <c r="N133" s="111"/>
      <c r="O133" s="111"/>
      <c r="P133" s="111"/>
    </row>
    <row r="134" spans="1:16" s="217" customFormat="1" x14ac:dyDescent="0.2">
      <c r="A134" s="215"/>
      <c r="B134" s="216"/>
      <c r="C134" s="114"/>
      <c r="D134" s="233" t="s">
        <v>460</v>
      </c>
      <c r="E134" s="234" t="s">
        <v>0</v>
      </c>
      <c r="F134" s="235">
        <v>1</v>
      </c>
      <c r="G134" s="236">
        <f>2.43+2.68</f>
        <v>5.1100000000000003</v>
      </c>
      <c r="H134" s="236"/>
      <c r="I134" s="236">
        <v>2.95</v>
      </c>
      <c r="J134" s="235">
        <v>1</v>
      </c>
      <c r="K134" s="237"/>
      <c r="L134" s="237">
        <f t="shared" si="14"/>
        <v>15.074500000000002</v>
      </c>
      <c r="M134" s="111"/>
      <c r="N134" s="111"/>
      <c r="O134" s="111"/>
      <c r="P134" s="111"/>
    </row>
    <row r="135" spans="1:16" s="217" customFormat="1" x14ac:dyDescent="0.2">
      <c r="A135" s="215"/>
      <c r="B135" s="216"/>
      <c r="C135" s="114"/>
      <c r="D135" s="233" t="s">
        <v>461</v>
      </c>
      <c r="E135" s="234" t="s">
        <v>0</v>
      </c>
      <c r="F135" s="235">
        <v>1</v>
      </c>
      <c r="G135" s="236">
        <v>1.1000000000000001</v>
      </c>
      <c r="H135" s="236"/>
      <c r="I135" s="236">
        <v>3.25</v>
      </c>
      <c r="J135" s="235">
        <v>1</v>
      </c>
      <c r="K135" s="237"/>
      <c r="L135" s="237">
        <f t="shared" si="14"/>
        <v>3.5750000000000002</v>
      </c>
      <c r="M135" s="111"/>
      <c r="N135" s="111"/>
      <c r="O135" s="111"/>
      <c r="P135" s="111"/>
    </row>
    <row r="136" spans="1:16" s="217" customFormat="1" x14ac:dyDescent="0.2">
      <c r="A136" s="215"/>
      <c r="B136" s="216"/>
      <c r="C136" s="114"/>
      <c r="D136" s="233" t="s">
        <v>462</v>
      </c>
      <c r="E136" s="234" t="s">
        <v>0</v>
      </c>
      <c r="F136" s="235">
        <v>1</v>
      </c>
      <c r="G136" s="236">
        <v>1.55</v>
      </c>
      <c r="H136" s="236"/>
      <c r="I136" s="236">
        <v>2.95</v>
      </c>
      <c r="J136" s="235">
        <v>1</v>
      </c>
      <c r="K136" s="237"/>
      <c r="L136" s="237">
        <f t="shared" si="14"/>
        <v>4.5725000000000007</v>
      </c>
      <c r="M136" s="111"/>
      <c r="N136" s="111"/>
      <c r="O136" s="111"/>
      <c r="P136" s="111"/>
    </row>
    <row r="137" spans="1:16" s="217" customFormat="1" x14ac:dyDescent="0.2">
      <c r="A137" s="215"/>
      <c r="B137" s="216"/>
      <c r="C137" s="114"/>
      <c r="D137" s="233" t="s">
        <v>463</v>
      </c>
      <c r="E137" s="234" t="s">
        <v>0</v>
      </c>
      <c r="F137" s="235">
        <v>1</v>
      </c>
      <c r="G137" s="236">
        <f>2.45+0.7</f>
        <v>3.1500000000000004</v>
      </c>
      <c r="H137" s="236"/>
      <c r="I137" s="236">
        <v>2.95</v>
      </c>
      <c r="J137" s="235">
        <v>1</v>
      </c>
      <c r="K137" s="237"/>
      <c r="L137" s="237">
        <f t="shared" si="14"/>
        <v>9.2925000000000022</v>
      </c>
      <c r="M137" s="111"/>
      <c r="N137" s="111"/>
      <c r="O137" s="111"/>
      <c r="P137" s="111"/>
    </row>
    <row r="138" spans="1:16" s="217" customFormat="1" x14ac:dyDescent="0.2">
      <c r="A138" s="215"/>
      <c r="B138" s="216"/>
      <c r="C138" s="114"/>
      <c r="D138" s="233" t="s">
        <v>464</v>
      </c>
      <c r="E138" s="234" t="s">
        <v>0</v>
      </c>
      <c r="F138" s="235">
        <v>1</v>
      </c>
      <c r="G138" s="236" t="s">
        <v>465</v>
      </c>
      <c r="H138" s="236">
        <v>0.6</v>
      </c>
      <c r="I138" s="236">
        <v>3.25</v>
      </c>
      <c r="J138" s="235">
        <v>1</v>
      </c>
      <c r="K138" s="237"/>
      <c r="L138" s="237">
        <f t="shared" si="14"/>
        <v>1.95</v>
      </c>
      <c r="M138" s="111"/>
      <c r="N138" s="248"/>
      <c r="O138" s="111"/>
      <c r="P138" s="111"/>
    </row>
    <row r="139" spans="1:16" s="217" customFormat="1" x14ac:dyDescent="0.2">
      <c r="A139" s="215"/>
      <c r="B139" s="216"/>
      <c r="C139" s="114"/>
      <c r="D139" s="233" t="s">
        <v>466</v>
      </c>
      <c r="E139" s="234" t="s">
        <v>0</v>
      </c>
      <c r="F139" s="235">
        <v>1</v>
      </c>
      <c r="G139" s="236" t="s">
        <v>465</v>
      </c>
      <c r="H139" s="236">
        <v>0.95</v>
      </c>
      <c r="I139" s="236">
        <v>3.25</v>
      </c>
      <c r="J139" s="235">
        <v>1</v>
      </c>
      <c r="K139" s="237"/>
      <c r="L139" s="237">
        <f t="shared" si="14"/>
        <v>3.0874999999999999</v>
      </c>
      <c r="M139" s="111"/>
      <c r="N139" s="111"/>
      <c r="O139" s="111"/>
      <c r="P139" s="111"/>
    </row>
    <row r="140" spans="1:16" s="217" customFormat="1" x14ac:dyDescent="0.2">
      <c r="A140" s="215"/>
      <c r="B140" s="216"/>
      <c r="C140" s="114"/>
      <c r="D140" s="233" t="s">
        <v>467</v>
      </c>
      <c r="E140" s="234" t="s">
        <v>0</v>
      </c>
      <c r="F140" s="235">
        <v>1</v>
      </c>
      <c r="G140" s="236" t="s">
        <v>465</v>
      </c>
      <c r="H140" s="236">
        <v>0.95</v>
      </c>
      <c r="I140" s="236">
        <v>3.25</v>
      </c>
      <c r="J140" s="235">
        <v>1</v>
      </c>
      <c r="K140" s="237"/>
      <c r="L140" s="237">
        <f t="shared" si="14"/>
        <v>3.0874999999999999</v>
      </c>
      <c r="M140" s="111"/>
      <c r="N140" s="111"/>
      <c r="O140" s="111"/>
      <c r="P140" s="111"/>
    </row>
    <row r="141" spans="1:16" s="217" customFormat="1" x14ac:dyDescent="0.2">
      <c r="A141" s="215"/>
      <c r="B141" s="216"/>
      <c r="C141" s="114"/>
      <c r="D141" s="233" t="s">
        <v>468</v>
      </c>
      <c r="E141" s="234" t="s">
        <v>0</v>
      </c>
      <c r="F141" s="235">
        <v>1</v>
      </c>
      <c r="G141" s="236" t="s">
        <v>465</v>
      </c>
      <c r="H141" s="236">
        <v>0.95</v>
      </c>
      <c r="I141" s="236">
        <v>3.25</v>
      </c>
      <c r="J141" s="235">
        <v>1</v>
      </c>
      <c r="K141" s="237"/>
      <c r="L141" s="237">
        <f t="shared" si="14"/>
        <v>3.0874999999999999</v>
      </c>
      <c r="M141" s="111"/>
      <c r="N141" s="111"/>
      <c r="O141" s="111"/>
      <c r="P141" s="111"/>
    </row>
    <row r="142" spans="1:16" s="217" customFormat="1" x14ac:dyDescent="0.2">
      <c r="A142" s="215"/>
      <c r="B142" s="216"/>
      <c r="C142" s="114"/>
      <c r="D142" s="233" t="s">
        <v>469</v>
      </c>
      <c r="E142" s="234" t="s">
        <v>0</v>
      </c>
      <c r="F142" s="235">
        <v>1</v>
      </c>
      <c r="G142" s="236" t="s">
        <v>465</v>
      </c>
      <c r="H142" s="236">
        <v>0.95</v>
      </c>
      <c r="I142" s="236">
        <v>3.25</v>
      </c>
      <c r="J142" s="235">
        <v>1</v>
      </c>
      <c r="K142" s="237"/>
      <c r="L142" s="237">
        <f t="shared" si="14"/>
        <v>3.0874999999999999</v>
      </c>
      <c r="M142" s="111"/>
      <c r="N142" s="111"/>
      <c r="O142" s="111"/>
      <c r="P142" s="111"/>
    </row>
    <row r="143" spans="1:16" s="217" customFormat="1" x14ac:dyDescent="0.2">
      <c r="A143" s="215"/>
      <c r="B143" s="216"/>
      <c r="C143" s="114"/>
      <c r="D143" s="233" t="s">
        <v>470</v>
      </c>
      <c r="E143" s="234" t="s">
        <v>0</v>
      </c>
      <c r="F143" s="235">
        <v>1</v>
      </c>
      <c r="G143" s="236" t="s">
        <v>465</v>
      </c>
      <c r="H143" s="236">
        <v>0.95</v>
      </c>
      <c r="I143" s="236">
        <v>3.25</v>
      </c>
      <c r="J143" s="235">
        <v>1</v>
      </c>
      <c r="K143" s="237"/>
      <c r="L143" s="237">
        <f t="shared" si="14"/>
        <v>3.0874999999999999</v>
      </c>
      <c r="M143" s="111"/>
      <c r="N143" s="111"/>
      <c r="O143" s="111"/>
      <c r="P143" s="111"/>
    </row>
    <row r="144" spans="1:16" s="217" customFormat="1" x14ac:dyDescent="0.2">
      <c r="A144" s="215"/>
      <c r="B144" s="216"/>
      <c r="C144" s="114"/>
      <c r="D144" s="233" t="s">
        <v>471</v>
      </c>
      <c r="E144" s="234" t="s">
        <v>0</v>
      </c>
      <c r="F144" s="235">
        <v>1</v>
      </c>
      <c r="G144" s="236" t="s">
        <v>465</v>
      </c>
      <c r="H144" s="236">
        <v>0.95</v>
      </c>
      <c r="I144" s="236">
        <v>3.25</v>
      </c>
      <c r="J144" s="235">
        <v>1</v>
      </c>
      <c r="K144" s="237"/>
      <c r="L144" s="237">
        <f t="shared" si="14"/>
        <v>3.0874999999999999</v>
      </c>
      <c r="M144" s="111"/>
      <c r="N144" s="111"/>
      <c r="O144" s="111"/>
      <c r="P144" s="111"/>
    </row>
    <row r="145" spans="1:16" s="217" customFormat="1" x14ac:dyDescent="0.2">
      <c r="A145" s="215"/>
      <c r="B145" s="216"/>
      <c r="C145" s="114"/>
      <c r="D145" s="233" t="s">
        <v>472</v>
      </c>
      <c r="E145" s="234" t="s">
        <v>0</v>
      </c>
      <c r="F145" s="235">
        <v>1</v>
      </c>
      <c r="G145" s="236" t="s">
        <v>465</v>
      </c>
      <c r="H145" s="236">
        <v>0.95</v>
      </c>
      <c r="I145" s="236">
        <v>3.25</v>
      </c>
      <c r="J145" s="235">
        <v>1</v>
      </c>
      <c r="K145" s="237"/>
      <c r="L145" s="237">
        <f t="shared" si="14"/>
        <v>3.0874999999999999</v>
      </c>
      <c r="M145" s="111"/>
      <c r="N145" s="111"/>
      <c r="O145" s="111"/>
      <c r="P145" s="111"/>
    </row>
    <row r="146" spans="1:16" s="217" customFormat="1" x14ac:dyDescent="0.2">
      <c r="A146" s="215"/>
      <c r="B146" s="216"/>
      <c r="C146" s="114"/>
      <c r="D146" s="233" t="s">
        <v>473</v>
      </c>
      <c r="E146" s="234" t="s">
        <v>0</v>
      </c>
      <c r="F146" s="235">
        <v>1</v>
      </c>
      <c r="G146" s="236" t="s">
        <v>465</v>
      </c>
      <c r="H146" s="236">
        <v>0.6</v>
      </c>
      <c r="I146" s="236">
        <v>3.25</v>
      </c>
      <c r="J146" s="235">
        <v>1</v>
      </c>
      <c r="K146" s="237"/>
      <c r="L146" s="237">
        <f t="shared" si="14"/>
        <v>1.95</v>
      </c>
      <c r="M146" s="111"/>
      <c r="N146" s="111"/>
      <c r="O146" s="111"/>
      <c r="P146" s="111"/>
    </row>
    <row r="147" spans="1:16" s="217" customFormat="1" x14ac:dyDescent="0.2">
      <c r="A147" s="215"/>
      <c r="B147" s="216"/>
      <c r="C147" s="106"/>
      <c r="D147" s="115" t="s">
        <v>106</v>
      </c>
      <c r="E147" s="121"/>
      <c r="F147" s="3"/>
      <c r="G147" s="122" t="s">
        <v>198</v>
      </c>
      <c r="H147" s="122"/>
      <c r="I147" s="122"/>
      <c r="J147" s="3"/>
      <c r="K147" s="113"/>
      <c r="L147" s="113"/>
      <c r="M147" s="113"/>
      <c r="N147" s="113"/>
      <c r="O147" s="113"/>
      <c r="P147" s="113"/>
    </row>
    <row r="148" spans="1:16" s="217" customFormat="1" x14ac:dyDescent="0.2">
      <c r="A148" s="215"/>
      <c r="B148" s="216"/>
      <c r="C148" s="114"/>
      <c r="D148" s="233" t="s">
        <v>452</v>
      </c>
      <c r="E148" s="234" t="s">
        <v>0</v>
      </c>
      <c r="F148" s="235">
        <v>1</v>
      </c>
      <c r="G148" s="236">
        <v>1.79</v>
      </c>
      <c r="H148" s="236"/>
      <c r="I148" s="236">
        <v>2.95</v>
      </c>
      <c r="J148" s="235">
        <v>1</v>
      </c>
      <c r="K148" s="237"/>
      <c r="L148" s="237">
        <f t="shared" ref="L148:L168" si="15">IF(F148="","",PRODUCT(F148:J148))</f>
        <v>5.2805000000000009</v>
      </c>
      <c r="M148" s="111"/>
      <c r="N148" s="111"/>
      <c r="O148" s="111"/>
      <c r="P148" s="111"/>
    </row>
    <row r="149" spans="1:16" s="217" customFormat="1" x14ac:dyDescent="0.2">
      <c r="A149" s="215"/>
      <c r="B149" s="216"/>
      <c r="C149" s="114"/>
      <c r="D149" s="233" t="s">
        <v>453</v>
      </c>
      <c r="E149" s="234" t="s">
        <v>0</v>
      </c>
      <c r="F149" s="235">
        <v>1</v>
      </c>
      <c r="G149" s="236">
        <v>1.59</v>
      </c>
      <c r="H149" s="236"/>
      <c r="I149" s="236">
        <v>2.95</v>
      </c>
      <c r="J149" s="235">
        <v>1</v>
      </c>
      <c r="K149" s="237"/>
      <c r="L149" s="237">
        <f t="shared" si="15"/>
        <v>4.6905000000000001</v>
      </c>
      <c r="M149" s="111"/>
      <c r="N149" s="111"/>
      <c r="O149" s="111"/>
      <c r="P149" s="111"/>
    </row>
    <row r="150" spans="1:16" s="217" customFormat="1" x14ac:dyDescent="0.2">
      <c r="A150" s="215"/>
      <c r="B150" s="216"/>
      <c r="C150" s="114"/>
      <c r="D150" s="233" t="s">
        <v>454</v>
      </c>
      <c r="E150" s="234" t="s">
        <v>0</v>
      </c>
      <c r="F150" s="235">
        <v>1</v>
      </c>
      <c r="G150" s="236">
        <f>1.97+1.76</f>
        <v>3.73</v>
      </c>
      <c r="H150" s="236"/>
      <c r="I150" s="236">
        <v>2.95</v>
      </c>
      <c r="J150" s="235">
        <v>1</v>
      </c>
      <c r="K150" s="237"/>
      <c r="L150" s="237">
        <f t="shared" si="15"/>
        <v>11.003500000000001</v>
      </c>
      <c r="M150" s="111"/>
      <c r="N150" s="111"/>
      <c r="O150" s="111"/>
      <c r="P150" s="111"/>
    </row>
    <row r="151" spans="1:16" s="217" customFormat="1" x14ac:dyDescent="0.2">
      <c r="A151" s="215"/>
      <c r="B151" s="216"/>
      <c r="C151" s="114"/>
      <c r="D151" s="233" t="s">
        <v>455</v>
      </c>
      <c r="E151" s="234" t="s">
        <v>0</v>
      </c>
      <c r="F151" s="235">
        <v>1</v>
      </c>
      <c r="G151" s="236">
        <v>1.59</v>
      </c>
      <c r="H151" s="236"/>
      <c r="I151" s="236">
        <v>2.95</v>
      </c>
      <c r="J151" s="235">
        <v>1</v>
      </c>
      <c r="K151" s="237"/>
      <c r="L151" s="237">
        <f t="shared" si="15"/>
        <v>4.6905000000000001</v>
      </c>
      <c r="M151" s="111"/>
      <c r="N151" s="111"/>
      <c r="O151" s="111"/>
      <c r="P151" s="111"/>
    </row>
    <row r="152" spans="1:16" s="217" customFormat="1" x14ac:dyDescent="0.2">
      <c r="A152" s="215"/>
      <c r="B152" s="216"/>
      <c r="C152" s="114"/>
      <c r="D152" s="233" t="s">
        <v>456</v>
      </c>
      <c r="E152" s="234" t="s">
        <v>0</v>
      </c>
      <c r="F152" s="235">
        <v>1</v>
      </c>
      <c r="G152" s="236">
        <f>2.7+0.7</f>
        <v>3.4000000000000004</v>
      </c>
      <c r="H152" s="236"/>
      <c r="I152" s="236">
        <v>2.95</v>
      </c>
      <c r="J152" s="235">
        <v>1</v>
      </c>
      <c r="K152" s="237"/>
      <c r="L152" s="237">
        <f t="shared" si="15"/>
        <v>10.030000000000001</v>
      </c>
      <c r="M152" s="111"/>
      <c r="N152" s="111"/>
      <c r="O152" s="111"/>
      <c r="P152" s="111"/>
    </row>
    <row r="153" spans="1:16" s="217" customFormat="1" x14ac:dyDescent="0.2">
      <c r="A153" s="215"/>
      <c r="B153" s="216"/>
      <c r="C153" s="114"/>
      <c r="D153" s="233" t="s">
        <v>457</v>
      </c>
      <c r="E153" s="234" t="s">
        <v>0</v>
      </c>
      <c r="F153" s="235">
        <v>1</v>
      </c>
      <c r="G153" s="236">
        <v>1.1000000000000001</v>
      </c>
      <c r="H153" s="236"/>
      <c r="I153" s="236">
        <v>3.25</v>
      </c>
      <c r="J153" s="235">
        <v>1</v>
      </c>
      <c r="K153" s="237"/>
      <c r="L153" s="237">
        <f t="shared" si="15"/>
        <v>3.5750000000000002</v>
      </c>
      <c r="M153" s="111"/>
      <c r="N153" s="111"/>
      <c r="O153" s="111"/>
      <c r="P153" s="111"/>
    </row>
    <row r="154" spans="1:16" s="217" customFormat="1" x14ac:dyDescent="0.2">
      <c r="A154" s="215"/>
      <c r="B154" s="216"/>
      <c r="C154" s="114"/>
      <c r="D154" s="233" t="s">
        <v>458</v>
      </c>
      <c r="E154" s="234" t="s">
        <v>0</v>
      </c>
      <c r="F154" s="235">
        <v>1</v>
      </c>
      <c r="G154" s="236">
        <v>1.55</v>
      </c>
      <c r="H154" s="236"/>
      <c r="I154" s="236">
        <v>2.95</v>
      </c>
      <c r="J154" s="235">
        <v>1</v>
      </c>
      <c r="K154" s="237"/>
      <c r="L154" s="237">
        <f t="shared" si="15"/>
        <v>4.5725000000000007</v>
      </c>
      <c r="M154" s="111"/>
      <c r="N154" s="111"/>
      <c r="O154" s="111"/>
      <c r="P154" s="111"/>
    </row>
    <row r="155" spans="1:16" s="217" customFormat="1" x14ac:dyDescent="0.2">
      <c r="A155" s="215"/>
      <c r="B155" s="216"/>
      <c r="C155" s="114"/>
      <c r="D155" s="233" t="s">
        <v>459</v>
      </c>
      <c r="E155" s="234" t="s">
        <v>0</v>
      </c>
      <c r="F155" s="235">
        <v>1</v>
      </c>
      <c r="G155" s="236">
        <v>1.1000000000000001</v>
      </c>
      <c r="H155" s="236"/>
      <c r="I155" s="236">
        <v>3.25</v>
      </c>
      <c r="J155" s="235">
        <v>1</v>
      </c>
      <c r="K155" s="237"/>
      <c r="L155" s="237">
        <f t="shared" si="15"/>
        <v>3.5750000000000002</v>
      </c>
      <c r="M155" s="111"/>
      <c r="N155" s="111"/>
      <c r="O155" s="111"/>
      <c r="P155" s="111"/>
    </row>
    <row r="156" spans="1:16" s="217" customFormat="1" x14ac:dyDescent="0.2">
      <c r="A156" s="215"/>
      <c r="B156" s="216"/>
      <c r="C156" s="114"/>
      <c r="D156" s="233" t="s">
        <v>460</v>
      </c>
      <c r="E156" s="234" t="s">
        <v>0</v>
      </c>
      <c r="F156" s="235">
        <v>1</v>
      </c>
      <c r="G156" s="236">
        <f>2.43+2.68</f>
        <v>5.1100000000000003</v>
      </c>
      <c r="H156" s="236"/>
      <c r="I156" s="236">
        <v>2.95</v>
      </c>
      <c r="J156" s="235">
        <v>1</v>
      </c>
      <c r="K156" s="237"/>
      <c r="L156" s="237">
        <f t="shared" si="15"/>
        <v>15.074500000000002</v>
      </c>
      <c r="M156" s="111"/>
      <c r="N156" s="111"/>
      <c r="O156" s="111"/>
      <c r="P156" s="111"/>
    </row>
    <row r="157" spans="1:16" s="217" customFormat="1" x14ac:dyDescent="0.2">
      <c r="A157" s="215"/>
      <c r="B157" s="216"/>
      <c r="C157" s="114"/>
      <c r="D157" s="233" t="s">
        <v>461</v>
      </c>
      <c r="E157" s="234" t="s">
        <v>0</v>
      </c>
      <c r="F157" s="235">
        <v>1</v>
      </c>
      <c r="G157" s="236">
        <v>1.1000000000000001</v>
      </c>
      <c r="H157" s="236"/>
      <c r="I157" s="236">
        <v>3.25</v>
      </c>
      <c r="J157" s="235">
        <v>1</v>
      </c>
      <c r="K157" s="237"/>
      <c r="L157" s="237">
        <f t="shared" si="15"/>
        <v>3.5750000000000002</v>
      </c>
      <c r="M157" s="111"/>
      <c r="N157" s="111"/>
      <c r="O157" s="111"/>
      <c r="P157" s="111"/>
    </row>
    <row r="158" spans="1:16" s="217" customFormat="1" x14ac:dyDescent="0.2">
      <c r="A158" s="215"/>
      <c r="B158" s="216"/>
      <c r="C158" s="114"/>
      <c r="D158" s="233" t="s">
        <v>462</v>
      </c>
      <c r="E158" s="234" t="s">
        <v>0</v>
      </c>
      <c r="F158" s="235">
        <v>1</v>
      </c>
      <c r="G158" s="236">
        <v>1.55</v>
      </c>
      <c r="H158" s="236"/>
      <c r="I158" s="236">
        <v>2.95</v>
      </c>
      <c r="J158" s="235">
        <v>1</v>
      </c>
      <c r="K158" s="237"/>
      <c r="L158" s="237">
        <f t="shared" si="15"/>
        <v>4.5725000000000007</v>
      </c>
      <c r="M158" s="111"/>
      <c r="N158" s="111"/>
      <c r="O158" s="111"/>
      <c r="P158" s="111"/>
    </row>
    <row r="159" spans="1:16" s="217" customFormat="1" x14ac:dyDescent="0.2">
      <c r="A159" s="215"/>
      <c r="B159" s="216"/>
      <c r="C159" s="114"/>
      <c r="D159" s="233" t="s">
        <v>463</v>
      </c>
      <c r="E159" s="234" t="s">
        <v>0</v>
      </c>
      <c r="F159" s="235">
        <v>1</v>
      </c>
      <c r="G159" s="236">
        <f>2.45+0.7</f>
        <v>3.1500000000000004</v>
      </c>
      <c r="H159" s="236"/>
      <c r="I159" s="236">
        <v>2.95</v>
      </c>
      <c r="J159" s="235">
        <v>1</v>
      </c>
      <c r="K159" s="237"/>
      <c r="L159" s="237">
        <f t="shared" si="15"/>
        <v>9.2925000000000022</v>
      </c>
      <c r="M159" s="111"/>
      <c r="N159" s="111"/>
      <c r="O159" s="111"/>
      <c r="P159" s="111"/>
    </row>
    <row r="160" spans="1:16" s="217" customFormat="1" x14ac:dyDescent="0.2">
      <c r="A160" s="215"/>
      <c r="B160" s="216"/>
      <c r="C160" s="114"/>
      <c r="D160" s="233" t="s">
        <v>464</v>
      </c>
      <c r="E160" s="234" t="s">
        <v>0</v>
      </c>
      <c r="F160" s="235">
        <v>1</v>
      </c>
      <c r="G160" s="236" t="s">
        <v>465</v>
      </c>
      <c r="H160" s="236">
        <v>0.6</v>
      </c>
      <c r="I160" s="236">
        <v>3.25</v>
      </c>
      <c r="J160" s="235">
        <v>1</v>
      </c>
      <c r="K160" s="237"/>
      <c r="L160" s="237">
        <f t="shared" si="15"/>
        <v>1.95</v>
      </c>
      <c r="M160" s="111"/>
      <c r="N160" s="111"/>
      <c r="O160" s="111"/>
      <c r="P160" s="111"/>
    </row>
    <row r="161" spans="1:16" s="217" customFormat="1" x14ac:dyDescent="0.2">
      <c r="A161" s="215"/>
      <c r="B161" s="216"/>
      <c r="C161" s="114"/>
      <c r="D161" s="233" t="s">
        <v>466</v>
      </c>
      <c r="E161" s="234" t="s">
        <v>0</v>
      </c>
      <c r="F161" s="235">
        <v>1</v>
      </c>
      <c r="G161" s="236" t="s">
        <v>465</v>
      </c>
      <c r="H161" s="236">
        <v>0.95</v>
      </c>
      <c r="I161" s="236">
        <v>3.25</v>
      </c>
      <c r="J161" s="235">
        <v>1</v>
      </c>
      <c r="K161" s="237"/>
      <c r="L161" s="237">
        <f t="shared" si="15"/>
        <v>3.0874999999999999</v>
      </c>
      <c r="M161" s="111"/>
      <c r="N161" s="111"/>
      <c r="O161" s="111"/>
      <c r="P161" s="111"/>
    </row>
    <row r="162" spans="1:16" s="217" customFormat="1" x14ac:dyDescent="0.2">
      <c r="A162" s="215"/>
      <c r="B162" s="216"/>
      <c r="C162" s="114"/>
      <c r="D162" s="233" t="s">
        <v>467</v>
      </c>
      <c r="E162" s="234" t="s">
        <v>0</v>
      </c>
      <c r="F162" s="235">
        <v>1</v>
      </c>
      <c r="G162" s="236" t="s">
        <v>465</v>
      </c>
      <c r="H162" s="236">
        <v>0.95</v>
      </c>
      <c r="I162" s="236">
        <v>3.25</v>
      </c>
      <c r="J162" s="235">
        <v>1</v>
      </c>
      <c r="K162" s="237"/>
      <c r="L162" s="237">
        <f t="shared" si="15"/>
        <v>3.0874999999999999</v>
      </c>
      <c r="M162" s="111"/>
      <c r="N162" s="111"/>
      <c r="O162" s="111"/>
      <c r="P162" s="111"/>
    </row>
    <row r="163" spans="1:16" s="217" customFormat="1" x14ac:dyDescent="0.2">
      <c r="A163" s="215"/>
      <c r="B163" s="216"/>
      <c r="C163" s="114"/>
      <c r="D163" s="233" t="s">
        <v>468</v>
      </c>
      <c r="E163" s="234" t="s">
        <v>0</v>
      </c>
      <c r="F163" s="235">
        <v>1</v>
      </c>
      <c r="G163" s="236" t="s">
        <v>465</v>
      </c>
      <c r="H163" s="236">
        <v>0.95</v>
      </c>
      <c r="I163" s="236">
        <v>3.25</v>
      </c>
      <c r="J163" s="235">
        <v>1</v>
      </c>
      <c r="K163" s="237"/>
      <c r="L163" s="237">
        <f t="shared" si="15"/>
        <v>3.0874999999999999</v>
      </c>
      <c r="M163" s="111"/>
      <c r="N163" s="111"/>
      <c r="O163" s="111"/>
      <c r="P163" s="111"/>
    </row>
    <row r="164" spans="1:16" s="217" customFormat="1" x14ac:dyDescent="0.2">
      <c r="A164" s="215"/>
      <c r="B164" s="216"/>
      <c r="C164" s="114"/>
      <c r="D164" s="233" t="s">
        <v>469</v>
      </c>
      <c r="E164" s="234" t="s">
        <v>0</v>
      </c>
      <c r="F164" s="235">
        <v>1</v>
      </c>
      <c r="G164" s="236" t="s">
        <v>465</v>
      </c>
      <c r="H164" s="236">
        <v>0.95</v>
      </c>
      <c r="I164" s="236">
        <v>3.25</v>
      </c>
      <c r="J164" s="235">
        <v>1</v>
      </c>
      <c r="K164" s="237"/>
      <c r="L164" s="237">
        <f t="shared" si="15"/>
        <v>3.0874999999999999</v>
      </c>
      <c r="M164" s="111"/>
      <c r="N164" s="111"/>
      <c r="O164" s="111"/>
      <c r="P164" s="111"/>
    </row>
    <row r="165" spans="1:16" s="217" customFormat="1" x14ac:dyDescent="0.2">
      <c r="A165" s="215"/>
      <c r="B165" s="216"/>
      <c r="C165" s="114"/>
      <c r="D165" s="233" t="s">
        <v>470</v>
      </c>
      <c r="E165" s="234" t="s">
        <v>0</v>
      </c>
      <c r="F165" s="235">
        <v>1</v>
      </c>
      <c r="G165" s="236" t="s">
        <v>465</v>
      </c>
      <c r="H165" s="236">
        <v>0.95</v>
      </c>
      <c r="I165" s="236">
        <v>3.25</v>
      </c>
      <c r="J165" s="235">
        <v>1</v>
      </c>
      <c r="K165" s="237"/>
      <c r="L165" s="237">
        <f t="shared" si="15"/>
        <v>3.0874999999999999</v>
      </c>
      <c r="M165" s="111"/>
      <c r="N165" s="111"/>
      <c r="O165" s="111"/>
      <c r="P165" s="111"/>
    </row>
    <row r="166" spans="1:16" s="217" customFormat="1" x14ac:dyDescent="0.2">
      <c r="A166" s="215"/>
      <c r="B166" s="216"/>
      <c r="C166" s="114"/>
      <c r="D166" s="233" t="s">
        <v>471</v>
      </c>
      <c r="E166" s="234" t="s">
        <v>0</v>
      </c>
      <c r="F166" s="235">
        <v>1</v>
      </c>
      <c r="G166" s="236" t="s">
        <v>465</v>
      </c>
      <c r="H166" s="236">
        <v>0.95</v>
      </c>
      <c r="I166" s="236">
        <v>3.25</v>
      </c>
      <c r="J166" s="235">
        <v>1</v>
      </c>
      <c r="K166" s="237"/>
      <c r="L166" s="237">
        <f t="shared" si="15"/>
        <v>3.0874999999999999</v>
      </c>
      <c r="M166" s="111"/>
      <c r="N166" s="111"/>
      <c r="O166" s="111"/>
      <c r="P166" s="111"/>
    </row>
    <row r="167" spans="1:16" s="217" customFormat="1" x14ac:dyDescent="0.2">
      <c r="A167" s="215"/>
      <c r="B167" s="216"/>
      <c r="C167" s="114"/>
      <c r="D167" s="233" t="s">
        <v>472</v>
      </c>
      <c r="E167" s="234" t="s">
        <v>0</v>
      </c>
      <c r="F167" s="235">
        <v>1</v>
      </c>
      <c r="G167" s="236" t="s">
        <v>465</v>
      </c>
      <c r="H167" s="236">
        <v>0.95</v>
      </c>
      <c r="I167" s="236">
        <v>3.25</v>
      </c>
      <c r="J167" s="235">
        <v>1</v>
      </c>
      <c r="K167" s="237"/>
      <c r="L167" s="237">
        <f t="shared" si="15"/>
        <v>3.0874999999999999</v>
      </c>
      <c r="M167" s="111"/>
      <c r="N167" s="111"/>
      <c r="O167" s="111"/>
      <c r="P167" s="111"/>
    </row>
    <row r="168" spans="1:16" s="170" customFormat="1" x14ac:dyDescent="0.3">
      <c r="A168" s="170">
        <v>3</v>
      </c>
      <c r="C168" s="114"/>
      <c r="D168" s="233" t="s">
        <v>473</v>
      </c>
      <c r="E168" s="234" t="s">
        <v>0</v>
      </c>
      <c r="F168" s="235">
        <v>1</v>
      </c>
      <c r="G168" s="236" t="s">
        <v>465</v>
      </c>
      <c r="H168" s="236">
        <v>0.6</v>
      </c>
      <c r="I168" s="236">
        <v>3.25</v>
      </c>
      <c r="J168" s="235">
        <v>1</v>
      </c>
      <c r="K168" s="237"/>
      <c r="L168" s="237">
        <f t="shared" si="15"/>
        <v>1.95</v>
      </c>
      <c r="M168" s="111"/>
      <c r="N168" s="111"/>
      <c r="O168" s="111"/>
      <c r="P168" s="111"/>
    </row>
    <row r="169" spans="1:16" s="170" customFormat="1" x14ac:dyDescent="0.3">
      <c r="C169" s="106"/>
      <c r="D169" s="115"/>
      <c r="E169" s="121"/>
      <c r="F169" s="3"/>
      <c r="G169" s="122"/>
      <c r="H169" s="122"/>
      <c r="I169" s="122"/>
      <c r="J169" s="3"/>
      <c r="K169" s="113"/>
      <c r="L169" s="113"/>
      <c r="M169" s="113"/>
      <c r="N169" s="113"/>
      <c r="O169" s="113"/>
      <c r="P169" s="113"/>
    </row>
    <row r="170" spans="1:16" s="170" customFormat="1" x14ac:dyDescent="0.3">
      <c r="C170" s="99" t="s">
        <v>1183</v>
      </c>
      <c r="D170" s="226" t="s">
        <v>519</v>
      </c>
      <c r="E170" s="101" t="s">
        <v>0</v>
      </c>
      <c r="F170" s="1"/>
      <c r="G170" s="2"/>
      <c r="H170" s="2"/>
      <c r="I170" s="2"/>
      <c r="J170" s="3"/>
      <c r="K170" s="103"/>
      <c r="L170" s="103"/>
      <c r="M170" s="103"/>
      <c r="N170" s="103"/>
      <c r="O170" s="103"/>
      <c r="P170" s="103">
        <f>SUM(L170:L271)</f>
        <v>92.868499999999983</v>
      </c>
    </row>
    <row r="171" spans="1:16" s="170" customFormat="1" x14ac:dyDescent="0.3">
      <c r="C171" s="106"/>
      <c r="D171" s="115" t="s">
        <v>127</v>
      </c>
      <c r="E171" s="121"/>
      <c r="F171" s="3"/>
      <c r="G171" s="122"/>
      <c r="H171" s="122"/>
      <c r="I171" s="122"/>
      <c r="J171" s="3"/>
      <c r="K171" s="113"/>
      <c r="L171" s="113"/>
      <c r="M171" s="113"/>
      <c r="N171" s="113"/>
      <c r="O171" s="113"/>
      <c r="P171" s="113"/>
    </row>
    <row r="172" spans="1:16" s="170" customFormat="1" x14ac:dyDescent="0.3">
      <c r="C172" s="114"/>
      <c r="D172" s="233" t="s">
        <v>474</v>
      </c>
      <c r="E172" s="234" t="s">
        <v>0</v>
      </c>
      <c r="F172" s="235">
        <v>1</v>
      </c>
      <c r="G172" s="236">
        <v>3.65</v>
      </c>
      <c r="H172" s="236">
        <v>0.35</v>
      </c>
      <c r="I172" s="236"/>
      <c r="J172" s="235">
        <v>1</v>
      </c>
      <c r="K172" s="249"/>
      <c r="L172" s="237">
        <f>((I172)+H172)*F172*G172*J172</f>
        <v>1.2774999999999999</v>
      </c>
      <c r="M172" s="111"/>
      <c r="N172" s="111"/>
      <c r="O172" s="111"/>
      <c r="P172" s="111"/>
    </row>
    <row r="173" spans="1:16" s="170" customFormat="1" x14ac:dyDescent="0.3">
      <c r="C173" s="114"/>
      <c r="D173" s="233" t="s">
        <v>475</v>
      </c>
      <c r="E173" s="234" t="s">
        <v>0</v>
      </c>
      <c r="F173" s="235">
        <v>1</v>
      </c>
      <c r="G173" s="236">
        <v>3.65</v>
      </c>
      <c r="H173" s="236">
        <v>0.35</v>
      </c>
      <c r="I173" s="236"/>
      <c r="J173" s="235">
        <v>1</v>
      </c>
      <c r="K173" s="249"/>
      <c r="L173" s="237">
        <f t="shared" ref="L173:L195" si="16">((I173)+H173)*F173*G173*J173</f>
        <v>1.2774999999999999</v>
      </c>
      <c r="M173" s="111"/>
      <c r="N173" s="111"/>
      <c r="O173" s="111"/>
      <c r="P173" s="111"/>
    </row>
    <row r="174" spans="1:16" s="170" customFormat="1" x14ac:dyDescent="0.3">
      <c r="C174" s="114"/>
      <c r="D174" s="233" t="s">
        <v>476</v>
      </c>
      <c r="E174" s="234" t="s">
        <v>0</v>
      </c>
      <c r="F174" s="235">
        <v>1</v>
      </c>
      <c r="G174" s="236">
        <v>3.65</v>
      </c>
      <c r="H174" s="236">
        <v>0.35</v>
      </c>
      <c r="I174" s="236"/>
      <c r="J174" s="235">
        <v>1</v>
      </c>
      <c r="K174" s="249"/>
      <c r="L174" s="237">
        <f t="shared" si="16"/>
        <v>1.2774999999999999</v>
      </c>
      <c r="M174" s="111"/>
      <c r="N174" s="111"/>
      <c r="O174" s="111"/>
      <c r="P174" s="111"/>
    </row>
    <row r="175" spans="1:16" s="170" customFormat="1" x14ac:dyDescent="0.3">
      <c r="C175" s="114"/>
      <c r="D175" s="233" t="s">
        <v>477</v>
      </c>
      <c r="E175" s="234" t="s">
        <v>0</v>
      </c>
      <c r="F175" s="235">
        <v>1</v>
      </c>
      <c r="G175" s="236">
        <v>3.65</v>
      </c>
      <c r="H175" s="236">
        <v>0.35</v>
      </c>
      <c r="I175" s="236"/>
      <c r="J175" s="235">
        <v>1</v>
      </c>
      <c r="K175" s="237"/>
      <c r="L175" s="237">
        <f t="shared" si="16"/>
        <v>1.2774999999999999</v>
      </c>
      <c r="M175" s="111"/>
      <c r="N175" s="111"/>
      <c r="O175" s="111"/>
      <c r="P175" s="111"/>
    </row>
    <row r="176" spans="1:16" s="170" customFormat="1" x14ac:dyDescent="0.3">
      <c r="C176" s="114"/>
      <c r="D176" s="233" t="s">
        <v>437</v>
      </c>
      <c r="E176" s="234" t="s">
        <v>0</v>
      </c>
      <c r="F176" s="235">
        <v>1</v>
      </c>
      <c r="G176" s="236">
        <v>3.65</v>
      </c>
      <c r="H176" s="236">
        <v>0.1</v>
      </c>
      <c r="I176" s="236"/>
      <c r="J176" s="235">
        <v>1</v>
      </c>
      <c r="K176" s="237"/>
      <c r="L176" s="237">
        <f t="shared" si="16"/>
        <v>0.36499999999999999</v>
      </c>
      <c r="M176" s="111"/>
      <c r="N176" s="111"/>
      <c r="O176" s="111"/>
      <c r="P176" s="111"/>
    </row>
    <row r="177" spans="3:16" s="170" customFormat="1" x14ac:dyDescent="0.3">
      <c r="C177" s="114"/>
      <c r="D177" s="233" t="s">
        <v>438</v>
      </c>
      <c r="E177" s="234" t="s">
        <v>0</v>
      </c>
      <c r="F177" s="235">
        <v>1</v>
      </c>
      <c r="G177" s="236">
        <v>3.65</v>
      </c>
      <c r="H177" s="236">
        <v>0.1</v>
      </c>
      <c r="I177" s="236"/>
      <c r="J177" s="235">
        <v>1</v>
      </c>
      <c r="K177" s="237"/>
      <c r="L177" s="237">
        <f t="shared" si="16"/>
        <v>0.36499999999999999</v>
      </c>
      <c r="M177" s="111"/>
      <c r="N177" s="111"/>
      <c r="O177" s="111"/>
      <c r="P177" s="111"/>
    </row>
    <row r="178" spans="3:16" s="170" customFormat="1" x14ac:dyDescent="0.3">
      <c r="C178" s="114"/>
      <c r="D178" s="233" t="s">
        <v>439</v>
      </c>
      <c r="E178" s="234" t="s">
        <v>0</v>
      </c>
      <c r="F178" s="235">
        <v>1</v>
      </c>
      <c r="G178" s="236">
        <v>3.65</v>
      </c>
      <c r="H178" s="236">
        <v>0.1</v>
      </c>
      <c r="I178" s="236"/>
      <c r="J178" s="235">
        <v>1</v>
      </c>
      <c r="K178" s="237"/>
      <c r="L178" s="237">
        <f t="shared" si="16"/>
        <v>0.36499999999999999</v>
      </c>
      <c r="M178" s="111"/>
      <c r="N178" s="111"/>
      <c r="O178" s="111"/>
      <c r="P178" s="111"/>
    </row>
    <row r="179" spans="3:16" s="170" customFormat="1" x14ac:dyDescent="0.3">
      <c r="C179" s="114"/>
      <c r="D179" s="233" t="s">
        <v>440</v>
      </c>
      <c r="E179" s="234" t="s">
        <v>0</v>
      </c>
      <c r="F179" s="235">
        <v>1</v>
      </c>
      <c r="G179" s="236">
        <v>3.65</v>
      </c>
      <c r="H179" s="236">
        <v>0.1</v>
      </c>
      <c r="I179" s="236"/>
      <c r="J179" s="235">
        <v>1</v>
      </c>
      <c r="K179" s="237"/>
      <c r="L179" s="237">
        <f t="shared" si="16"/>
        <v>0.36499999999999999</v>
      </c>
      <c r="M179" s="111"/>
      <c r="N179" s="111"/>
      <c r="O179" s="111"/>
      <c r="P179" s="111"/>
    </row>
    <row r="180" spans="3:16" s="170" customFormat="1" x14ac:dyDescent="0.3">
      <c r="C180" s="114"/>
      <c r="D180" s="233" t="s">
        <v>478</v>
      </c>
      <c r="E180" s="234" t="s">
        <v>0</v>
      </c>
      <c r="F180" s="250">
        <v>2</v>
      </c>
      <c r="G180" s="251">
        <v>2.14</v>
      </c>
      <c r="H180" s="236">
        <v>0.35</v>
      </c>
      <c r="I180" s="236"/>
      <c r="J180" s="235">
        <v>1</v>
      </c>
      <c r="K180" s="237"/>
      <c r="L180" s="237">
        <f t="shared" si="16"/>
        <v>1.498</v>
      </c>
      <c r="M180" s="111"/>
      <c r="N180" s="111"/>
      <c r="O180" s="111"/>
      <c r="P180" s="111"/>
    </row>
    <row r="181" spans="3:16" s="170" customFormat="1" x14ac:dyDescent="0.3">
      <c r="C181" s="114"/>
      <c r="D181" s="233" t="s">
        <v>479</v>
      </c>
      <c r="E181" s="234" t="s">
        <v>0</v>
      </c>
      <c r="F181" s="250">
        <v>2</v>
      </c>
      <c r="G181" s="251">
        <v>2.14</v>
      </c>
      <c r="H181" s="236">
        <v>0.35</v>
      </c>
      <c r="I181" s="236"/>
      <c r="J181" s="235">
        <v>1</v>
      </c>
      <c r="K181" s="237"/>
      <c r="L181" s="237">
        <f t="shared" si="16"/>
        <v>1.498</v>
      </c>
      <c r="M181" s="111"/>
      <c r="N181" s="111"/>
      <c r="O181" s="111"/>
      <c r="P181" s="111"/>
    </row>
    <row r="182" spans="3:16" s="170" customFormat="1" x14ac:dyDescent="0.3">
      <c r="C182" s="114"/>
      <c r="D182" s="233" t="s">
        <v>480</v>
      </c>
      <c r="E182" s="234" t="s">
        <v>0</v>
      </c>
      <c r="F182" s="250">
        <v>2</v>
      </c>
      <c r="G182" s="251">
        <v>2.14</v>
      </c>
      <c r="H182" s="236">
        <v>0.35</v>
      </c>
      <c r="I182" s="236"/>
      <c r="J182" s="235">
        <v>1</v>
      </c>
      <c r="K182" s="237"/>
      <c r="L182" s="237">
        <f t="shared" si="16"/>
        <v>1.498</v>
      </c>
      <c r="M182" s="111"/>
      <c r="N182" s="111"/>
      <c r="O182" s="111"/>
      <c r="P182" s="111"/>
    </row>
    <row r="183" spans="3:16" s="170" customFormat="1" x14ac:dyDescent="0.3">
      <c r="C183" s="114"/>
      <c r="D183" s="233" t="s">
        <v>481</v>
      </c>
      <c r="E183" s="234" t="s">
        <v>0</v>
      </c>
      <c r="F183" s="250">
        <v>2</v>
      </c>
      <c r="G183" s="251">
        <v>2.14</v>
      </c>
      <c r="H183" s="236">
        <v>0.35</v>
      </c>
      <c r="I183" s="236"/>
      <c r="J183" s="235">
        <v>1</v>
      </c>
      <c r="K183" s="237"/>
      <c r="L183" s="237">
        <f t="shared" si="16"/>
        <v>1.498</v>
      </c>
      <c r="M183" s="111"/>
      <c r="N183" s="111"/>
      <c r="O183" s="111"/>
      <c r="P183" s="111"/>
    </row>
    <row r="184" spans="3:16" s="170" customFormat="1" x14ac:dyDescent="0.3">
      <c r="C184" s="114"/>
      <c r="D184" s="233" t="s">
        <v>441</v>
      </c>
      <c r="E184" s="234" t="s">
        <v>0</v>
      </c>
      <c r="F184" s="235">
        <v>1</v>
      </c>
      <c r="G184" s="236">
        <v>3.3</v>
      </c>
      <c r="H184" s="236"/>
      <c r="I184" s="236">
        <f>0.1</f>
        <v>0.1</v>
      </c>
      <c r="J184" s="235">
        <v>1</v>
      </c>
      <c r="K184" s="237"/>
      <c r="L184" s="237">
        <f t="shared" si="16"/>
        <v>0.33</v>
      </c>
      <c r="M184" s="111"/>
      <c r="N184" s="111"/>
      <c r="O184" s="111"/>
      <c r="P184" s="111"/>
    </row>
    <row r="185" spans="3:16" s="170" customFormat="1" x14ac:dyDescent="0.3">
      <c r="C185" s="114"/>
      <c r="D185" s="233" t="s">
        <v>482</v>
      </c>
      <c r="E185" s="234" t="s">
        <v>0</v>
      </c>
      <c r="F185" s="235">
        <v>1</v>
      </c>
      <c r="G185" s="236">
        <v>2.95</v>
      </c>
      <c r="H185" s="236">
        <v>0.25</v>
      </c>
      <c r="I185" s="236"/>
      <c r="J185" s="235">
        <v>1</v>
      </c>
      <c r="K185" s="237"/>
      <c r="L185" s="237">
        <f t="shared" si="16"/>
        <v>0.73750000000000004</v>
      </c>
      <c r="M185" s="111"/>
      <c r="N185" s="111"/>
      <c r="O185" s="111"/>
      <c r="P185" s="111"/>
    </row>
    <row r="186" spans="3:16" s="170" customFormat="1" x14ac:dyDescent="0.3">
      <c r="C186" s="114"/>
      <c r="D186" s="233" t="s">
        <v>483</v>
      </c>
      <c r="E186" s="234" t="s">
        <v>0</v>
      </c>
      <c r="F186" s="235">
        <v>1</v>
      </c>
      <c r="G186" s="236">
        <v>6.4</v>
      </c>
      <c r="H186" s="236">
        <v>0.6</v>
      </c>
      <c r="I186" s="236"/>
      <c r="J186" s="235">
        <v>1</v>
      </c>
      <c r="K186" s="237"/>
      <c r="L186" s="237">
        <f t="shared" si="16"/>
        <v>3.84</v>
      </c>
      <c r="M186" s="111"/>
      <c r="N186" s="111"/>
      <c r="O186" s="111"/>
      <c r="P186" s="111"/>
    </row>
    <row r="187" spans="3:16" s="170" customFormat="1" x14ac:dyDescent="0.3">
      <c r="C187" s="114"/>
      <c r="D187" s="233" t="s">
        <v>484</v>
      </c>
      <c r="E187" s="234" t="s">
        <v>0</v>
      </c>
      <c r="F187" s="235">
        <v>1</v>
      </c>
      <c r="G187" s="236">
        <v>2.95</v>
      </c>
      <c r="H187" s="236">
        <v>0.25</v>
      </c>
      <c r="I187" s="236"/>
      <c r="J187" s="235">
        <v>1</v>
      </c>
      <c r="K187" s="237"/>
      <c r="L187" s="237">
        <f t="shared" si="16"/>
        <v>0.73750000000000004</v>
      </c>
      <c r="M187" s="111"/>
      <c r="N187" s="111"/>
      <c r="O187" s="111"/>
      <c r="P187" s="111"/>
    </row>
    <row r="188" spans="3:16" s="170" customFormat="1" x14ac:dyDescent="0.3">
      <c r="C188" s="114"/>
      <c r="D188" s="233" t="s">
        <v>442</v>
      </c>
      <c r="E188" s="234" t="s">
        <v>0</v>
      </c>
      <c r="F188" s="235">
        <v>1</v>
      </c>
      <c r="G188" s="236">
        <v>3.3</v>
      </c>
      <c r="H188" s="236"/>
      <c r="I188" s="236">
        <f>0.1*2</f>
        <v>0.2</v>
      </c>
      <c r="J188" s="235">
        <v>1</v>
      </c>
      <c r="K188" s="237"/>
      <c r="L188" s="237">
        <f t="shared" si="16"/>
        <v>0.66</v>
      </c>
      <c r="M188" s="111"/>
      <c r="N188" s="111"/>
      <c r="O188" s="111"/>
      <c r="P188" s="111"/>
    </row>
    <row r="189" spans="3:16" s="170" customFormat="1" x14ac:dyDescent="0.3">
      <c r="C189" s="114"/>
      <c r="D189" s="233" t="s">
        <v>485</v>
      </c>
      <c r="E189" s="234" t="s">
        <v>0</v>
      </c>
      <c r="F189" s="235">
        <v>1</v>
      </c>
      <c r="G189" s="236">
        <v>2.95</v>
      </c>
      <c r="H189" s="236">
        <v>0.25</v>
      </c>
      <c r="I189" s="236"/>
      <c r="J189" s="235">
        <v>1</v>
      </c>
      <c r="K189" s="237"/>
      <c r="L189" s="237">
        <f t="shared" si="16"/>
        <v>0.73750000000000004</v>
      </c>
      <c r="M189" s="111"/>
      <c r="N189" s="111"/>
      <c r="O189" s="111"/>
      <c r="P189" s="111"/>
    </row>
    <row r="190" spans="3:16" s="170" customFormat="1" x14ac:dyDescent="0.3">
      <c r="C190" s="114"/>
      <c r="D190" s="233" t="s">
        <v>486</v>
      </c>
      <c r="E190" s="234" t="s">
        <v>0</v>
      </c>
      <c r="F190" s="235">
        <v>1</v>
      </c>
      <c r="G190" s="236">
        <v>6.4</v>
      </c>
      <c r="H190" s="236">
        <v>0.6</v>
      </c>
      <c r="I190" s="236"/>
      <c r="J190" s="235">
        <v>1</v>
      </c>
      <c r="K190" s="237"/>
      <c r="L190" s="237">
        <f t="shared" si="16"/>
        <v>3.84</v>
      </c>
      <c r="M190" s="111"/>
      <c r="N190" s="111"/>
      <c r="O190" s="111"/>
      <c r="P190" s="111"/>
    </row>
    <row r="191" spans="3:16" s="170" customFormat="1" x14ac:dyDescent="0.3">
      <c r="C191" s="114"/>
      <c r="D191" s="233" t="s">
        <v>487</v>
      </c>
      <c r="E191" s="234" t="s">
        <v>0</v>
      </c>
      <c r="F191" s="235">
        <v>1</v>
      </c>
      <c r="G191" s="236">
        <v>2.95</v>
      </c>
      <c r="H191" s="236">
        <v>0.25</v>
      </c>
      <c r="I191" s="236"/>
      <c r="J191" s="235">
        <v>1</v>
      </c>
      <c r="K191" s="237"/>
      <c r="L191" s="237">
        <f t="shared" si="16"/>
        <v>0.73750000000000004</v>
      </c>
      <c r="M191" s="111"/>
      <c r="N191" s="111"/>
      <c r="O191" s="111"/>
      <c r="P191" s="111"/>
    </row>
    <row r="192" spans="3:16" s="170" customFormat="1" x14ac:dyDescent="0.3">
      <c r="C192" s="114"/>
      <c r="D192" s="233" t="s">
        <v>443</v>
      </c>
      <c r="E192" s="234" t="s">
        <v>0</v>
      </c>
      <c r="F192" s="235">
        <v>1</v>
      </c>
      <c r="G192" s="236">
        <v>3.3</v>
      </c>
      <c r="H192" s="236"/>
      <c r="I192" s="236">
        <f>0.1</f>
        <v>0.1</v>
      </c>
      <c r="J192" s="235">
        <v>1</v>
      </c>
      <c r="K192" s="237"/>
      <c r="L192" s="237">
        <f t="shared" si="16"/>
        <v>0.33</v>
      </c>
      <c r="M192" s="111"/>
      <c r="N192" s="111"/>
      <c r="O192" s="111"/>
      <c r="P192" s="111"/>
    </row>
    <row r="193" spans="3:16" s="170" customFormat="1" x14ac:dyDescent="0.3">
      <c r="C193" s="114"/>
      <c r="D193" s="233" t="s">
        <v>488</v>
      </c>
      <c r="E193" s="234" t="s">
        <v>0</v>
      </c>
      <c r="F193" s="235">
        <v>1</v>
      </c>
      <c r="G193" s="236">
        <v>2.95</v>
      </c>
      <c r="H193" s="236">
        <v>0.25</v>
      </c>
      <c r="I193" s="236"/>
      <c r="J193" s="235">
        <v>1</v>
      </c>
      <c r="K193" s="237"/>
      <c r="L193" s="237">
        <f t="shared" si="16"/>
        <v>0.73750000000000004</v>
      </c>
      <c r="M193" s="111"/>
      <c r="N193" s="111"/>
      <c r="O193" s="111"/>
      <c r="P193" s="111"/>
    </row>
    <row r="194" spans="3:16" s="170" customFormat="1" x14ac:dyDescent="0.3">
      <c r="C194" s="114"/>
      <c r="D194" s="233" t="s">
        <v>238</v>
      </c>
      <c r="E194" s="234" t="s">
        <v>0</v>
      </c>
      <c r="F194" s="235">
        <v>12</v>
      </c>
      <c r="G194" s="236">
        <v>0.8</v>
      </c>
      <c r="H194" s="236">
        <v>0.15</v>
      </c>
      <c r="I194" s="236"/>
      <c r="J194" s="235">
        <v>1</v>
      </c>
      <c r="K194" s="237"/>
      <c r="L194" s="237">
        <f t="shared" si="16"/>
        <v>1.44</v>
      </c>
      <c r="M194" s="111"/>
      <c r="N194" s="111"/>
      <c r="O194" s="111"/>
      <c r="P194" s="111"/>
    </row>
    <row r="195" spans="3:16" s="170" customFormat="1" x14ac:dyDescent="0.3">
      <c r="C195" s="114"/>
      <c r="D195" s="233" t="s">
        <v>239</v>
      </c>
      <c r="E195" s="234" t="s">
        <v>0</v>
      </c>
      <c r="F195" s="235">
        <v>12</v>
      </c>
      <c r="G195" s="236">
        <v>0.5</v>
      </c>
      <c r="H195" s="236">
        <v>0.1</v>
      </c>
      <c r="I195" s="236"/>
      <c r="J195" s="235">
        <v>1</v>
      </c>
      <c r="K195" s="237"/>
      <c r="L195" s="237">
        <f t="shared" si="16"/>
        <v>0.60000000000000009</v>
      </c>
      <c r="M195" s="111"/>
      <c r="N195" s="111"/>
      <c r="O195" s="111"/>
      <c r="P195" s="111"/>
    </row>
    <row r="196" spans="3:16" s="170" customFormat="1" x14ac:dyDescent="0.3">
      <c r="C196" s="106"/>
      <c r="D196" s="115" t="s">
        <v>68</v>
      </c>
      <c r="E196" s="121"/>
      <c r="F196" s="3"/>
      <c r="G196" s="122"/>
      <c r="H196" s="122"/>
      <c r="I196" s="122"/>
      <c r="J196" s="3"/>
      <c r="K196" s="113"/>
      <c r="L196" s="113"/>
      <c r="M196" s="113"/>
      <c r="N196" s="113"/>
      <c r="O196" s="113"/>
      <c r="P196" s="113"/>
    </row>
    <row r="197" spans="3:16" s="170" customFormat="1" x14ac:dyDescent="0.3">
      <c r="C197" s="114"/>
      <c r="D197" s="233" t="s">
        <v>474</v>
      </c>
      <c r="E197" s="234" t="s">
        <v>0</v>
      </c>
      <c r="F197" s="235">
        <v>1</v>
      </c>
      <c r="G197" s="236">
        <v>3.65</v>
      </c>
      <c r="H197" s="236">
        <v>0.35</v>
      </c>
      <c r="I197" s="236"/>
      <c r="J197" s="235">
        <v>1</v>
      </c>
      <c r="K197" s="249"/>
      <c r="L197" s="237">
        <f>((I197)+H197)*F197*G197*J197</f>
        <v>1.2774999999999999</v>
      </c>
      <c r="M197" s="111"/>
      <c r="N197" s="111"/>
      <c r="O197" s="111"/>
      <c r="P197" s="111"/>
    </row>
    <row r="198" spans="3:16" s="170" customFormat="1" x14ac:dyDescent="0.3">
      <c r="C198" s="114"/>
      <c r="D198" s="233" t="s">
        <v>475</v>
      </c>
      <c r="E198" s="234" t="s">
        <v>0</v>
      </c>
      <c r="F198" s="235">
        <v>1</v>
      </c>
      <c r="G198" s="236">
        <v>3.65</v>
      </c>
      <c r="H198" s="236">
        <v>0.35</v>
      </c>
      <c r="I198" s="236"/>
      <c r="J198" s="235">
        <v>1</v>
      </c>
      <c r="K198" s="249"/>
      <c r="L198" s="237">
        <f t="shared" ref="L198:L220" si="17">((I198)+H198)*F198*G198*J198</f>
        <v>1.2774999999999999</v>
      </c>
      <c r="M198" s="111"/>
      <c r="N198" s="111"/>
      <c r="O198" s="111"/>
      <c r="P198" s="111"/>
    </row>
    <row r="199" spans="3:16" s="170" customFormat="1" x14ac:dyDescent="0.3">
      <c r="C199" s="114"/>
      <c r="D199" s="233" t="s">
        <v>476</v>
      </c>
      <c r="E199" s="234" t="s">
        <v>0</v>
      </c>
      <c r="F199" s="235">
        <v>1</v>
      </c>
      <c r="G199" s="236">
        <v>3.65</v>
      </c>
      <c r="H199" s="236">
        <v>0.35</v>
      </c>
      <c r="I199" s="236"/>
      <c r="J199" s="235">
        <v>1</v>
      </c>
      <c r="K199" s="249"/>
      <c r="L199" s="237">
        <f t="shared" si="17"/>
        <v>1.2774999999999999</v>
      </c>
      <c r="M199" s="111"/>
      <c r="N199" s="111"/>
      <c r="O199" s="111"/>
      <c r="P199" s="111"/>
    </row>
    <row r="200" spans="3:16" s="170" customFormat="1" x14ac:dyDescent="0.3">
      <c r="C200" s="114"/>
      <c r="D200" s="233" t="s">
        <v>477</v>
      </c>
      <c r="E200" s="234" t="s">
        <v>0</v>
      </c>
      <c r="F200" s="235">
        <v>1</v>
      </c>
      <c r="G200" s="236">
        <v>3.65</v>
      </c>
      <c r="H200" s="236">
        <v>0.35</v>
      </c>
      <c r="I200" s="236"/>
      <c r="J200" s="235">
        <v>1</v>
      </c>
      <c r="K200" s="237"/>
      <c r="L200" s="237">
        <f t="shared" si="17"/>
        <v>1.2774999999999999</v>
      </c>
      <c r="M200" s="111"/>
      <c r="N200" s="111"/>
      <c r="O200" s="111"/>
      <c r="P200" s="111"/>
    </row>
    <row r="201" spans="3:16" s="170" customFormat="1" x14ac:dyDescent="0.3">
      <c r="C201" s="114"/>
      <c r="D201" s="233" t="s">
        <v>437</v>
      </c>
      <c r="E201" s="234" t="s">
        <v>0</v>
      </c>
      <c r="F201" s="235">
        <v>1</v>
      </c>
      <c r="G201" s="236">
        <v>3.65</v>
      </c>
      <c r="H201" s="236">
        <v>0.1</v>
      </c>
      <c r="I201" s="236"/>
      <c r="J201" s="235">
        <v>1</v>
      </c>
      <c r="K201" s="237"/>
      <c r="L201" s="237">
        <f t="shared" si="17"/>
        <v>0.36499999999999999</v>
      </c>
      <c r="M201" s="111"/>
      <c r="N201" s="111"/>
      <c r="O201" s="111"/>
      <c r="P201" s="111"/>
    </row>
    <row r="202" spans="3:16" s="170" customFormat="1" x14ac:dyDescent="0.3">
      <c r="C202" s="114"/>
      <c r="D202" s="233" t="s">
        <v>438</v>
      </c>
      <c r="E202" s="234" t="s">
        <v>0</v>
      </c>
      <c r="F202" s="235">
        <v>1</v>
      </c>
      <c r="G202" s="236">
        <v>3.65</v>
      </c>
      <c r="H202" s="236">
        <v>0.1</v>
      </c>
      <c r="I202" s="236"/>
      <c r="J202" s="235">
        <v>1</v>
      </c>
      <c r="K202" s="237"/>
      <c r="L202" s="237">
        <f t="shared" si="17"/>
        <v>0.36499999999999999</v>
      </c>
      <c r="M202" s="111"/>
      <c r="N202" s="111"/>
      <c r="O202" s="111"/>
      <c r="P202" s="111"/>
    </row>
    <row r="203" spans="3:16" s="170" customFormat="1" x14ac:dyDescent="0.3">
      <c r="C203" s="114"/>
      <c r="D203" s="233" t="s">
        <v>439</v>
      </c>
      <c r="E203" s="234" t="s">
        <v>0</v>
      </c>
      <c r="F203" s="235">
        <v>1</v>
      </c>
      <c r="G203" s="236">
        <v>3.65</v>
      </c>
      <c r="H203" s="236">
        <v>0.1</v>
      </c>
      <c r="I203" s="236"/>
      <c r="J203" s="235">
        <v>1</v>
      </c>
      <c r="K203" s="237"/>
      <c r="L203" s="237">
        <f t="shared" si="17"/>
        <v>0.36499999999999999</v>
      </c>
      <c r="M203" s="111"/>
      <c r="N203" s="111"/>
      <c r="O203" s="111"/>
      <c r="P203" s="111"/>
    </row>
    <row r="204" spans="3:16" s="170" customFormat="1" x14ac:dyDescent="0.3">
      <c r="C204" s="114"/>
      <c r="D204" s="233" t="s">
        <v>440</v>
      </c>
      <c r="E204" s="234" t="s">
        <v>0</v>
      </c>
      <c r="F204" s="235">
        <v>1</v>
      </c>
      <c r="G204" s="236">
        <v>3.65</v>
      </c>
      <c r="H204" s="236">
        <v>0.1</v>
      </c>
      <c r="I204" s="236"/>
      <c r="J204" s="235">
        <v>1</v>
      </c>
      <c r="K204" s="237"/>
      <c r="L204" s="237">
        <f t="shared" si="17"/>
        <v>0.36499999999999999</v>
      </c>
      <c r="M204" s="111"/>
      <c r="N204" s="111"/>
      <c r="O204" s="111"/>
      <c r="P204" s="111"/>
    </row>
    <row r="205" spans="3:16" s="170" customFormat="1" x14ac:dyDescent="0.3">
      <c r="C205" s="114"/>
      <c r="D205" s="233" t="s">
        <v>478</v>
      </c>
      <c r="E205" s="234" t="s">
        <v>0</v>
      </c>
      <c r="F205" s="250">
        <v>2</v>
      </c>
      <c r="G205" s="251">
        <v>2.14</v>
      </c>
      <c r="H205" s="236">
        <v>0.35</v>
      </c>
      <c r="I205" s="236"/>
      <c r="J205" s="235">
        <v>1</v>
      </c>
      <c r="K205" s="237"/>
      <c r="L205" s="237">
        <f t="shared" si="17"/>
        <v>1.498</v>
      </c>
      <c r="M205" s="111"/>
      <c r="N205" s="111"/>
      <c r="O205" s="111"/>
      <c r="P205" s="111"/>
    </row>
    <row r="206" spans="3:16" s="170" customFormat="1" x14ac:dyDescent="0.3">
      <c r="C206" s="114"/>
      <c r="D206" s="233" t="s">
        <v>479</v>
      </c>
      <c r="E206" s="234" t="s">
        <v>0</v>
      </c>
      <c r="F206" s="250">
        <v>2</v>
      </c>
      <c r="G206" s="251">
        <v>2.14</v>
      </c>
      <c r="H206" s="236">
        <v>0.35</v>
      </c>
      <c r="I206" s="236"/>
      <c r="J206" s="235">
        <v>1</v>
      </c>
      <c r="K206" s="237"/>
      <c r="L206" s="237">
        <f t="shared" si="17"/>
        <v>1.498</v>
      </c>
      <c r="M206" s="111"/>
      <c r="N206" s="111"/>
      <c r="O206" s="111"/>
      <c r="P206" s="111"/>
    </row>
    <row r="207" spans="3:16" s="170" customFormat="1" x14ac:dyDescent="0.3">
      <c r="C207" s="114"/>
      <c r="D207" s="233" t="s">
        <v>480</v>
      </c>
      <c r="E207" s="234" t="s">
        <v>0</v>
      </c>
      <c r="F207" s="250">
        <v>2</v>
      </c>
      <c r="G207" s="251">
        <v>2.14</v>
      </c>
      <c r="H207" s="236">
        <v>0.35</v>
      </c>
      <c r="I207" s="236"/>
      <c r="J207" s="235">
        <v>1</v>
      </c>
      <c r="K207" s="237"/>
      <c r="L207" s="237">
        <f t="shared" si="17"/>
        <v>1.498</v>
      </c>
      <c r="M207" s="111"/>
      <c r="N207" s="111"/>
      <c r="O207" s="111"/>
      <c r="P207" s="111"/>
    </row>
    <row r="208" spans="3:16" s="170" customFormat="1" x14ac:dyDescent="0.3">
      <c r="C208" s="114"/>
      <c r="D208" s="233" t="s">
        <v>481</v>
      </c>
      <c r="E208" s="234" t="s">
        <v>0</v>
      </c>
      <c r="F208" s="250">
        <v>2</v>
      </c>
      <c r="G208" s="251">
        <v>2.14</v>
      </c>
      <c r="H208" s="236">
        <v>0.35</v>
      </c>
      <c r="I208" s="236"/>
      <c r="J208" s="235">
        <v>1</v>
      </c>
      <c r="K208" s="237"/>
      <c r="L208" s="237">
        <f t="shared" si="17"/>
        <v>1.498</v>
      </c>
      <c r="M208" s="111"/>
      <c r="N208" s="111"/>
      <c r="O208" s="111"/>
      <c r="P208" s="111"/>
    </row>
    <row r="209" spans="3:16" s="170" customFormat="1" x14ac:dyDescent="0.3">
      <c r="C209" s="114"/>
      <c r="D209" s="233" t="s">
        <v>441</v>
      </c>
      <c r="E209" s="234" t="s">
        <v>0</v>
      </c>
      <c r="F209" s="235">
        <v>1</v>
      </c>
      <c r="G209" s="236">
        <v>3.3</v>
      </c>
      <c r="H209" s="236"/>
      <c r="I209" s="236">
        <f>0.1</f>
        <v>0.1</v>
      </c>
      <c r="J209" s="235">
        <v>1</v>
      </c>
      <c r="K209" s="237"/>
      <c r="L209" s="237">
        <f t="shared" si="17"/>
        <v>0.33</v>
      </c>
      <c r="M209" s="111"/>
      <c r="N209" s="111"/>
      <c r="O209" s="111"/>
      <c r="P209" s="111"/>
    </row>
    <row r="210" spans="3:16" s="170" customFormat="1" x14ac:dyDescent="0.3">
      <c r="C210" s="114"/>
      <c r="D210" s="233" t="s">
        <v>482</v>
      </c>
      <c r="E210" s="234" t="s">
        <v>0</v>
      </c>
      <c r="F210" s="235">
        <v>1</v>
      </c>
      <c r="G210" s="236">
        <v>2.95</v>
      </c>
      <c r="H210" s="236">
        <v>0.25</v>
      </c>
      <c r="I210" s="236"/>
      <c r="J210" s="235">
        <v>1</v>
      </c>
      <c r="K210" s="237"/>
      <c r="L210" s="237">
        <f t="shared" si="17"/>
        <v>0.73750000000000004</v>
      </c>
      <c r="M210" s="111"/>
      <c r="N210" s="111"/>
      <c r="O210" s="111"/>
      <c r="P210" s="111"/>
    </row>
    <row r="211" spans="3:16" s="170" customFormat="1" x14ac:dyDescent="0.3">
      <c r="C211" s="114"/>
      <c r="D211" s="233" t="s">
        <v>483</v>
      </c>
      <c r="E211" s="234" t="s">
        <v>0</v>
      </c>
      <c r="F211" s="235">
        <v>1</v>
      </c>
      <c r="G211" s="236">
        <v>6.4</v>
      </c>
      <c r="H211" s="236">
        <v>0.6</v>
      </c>
      <c r="I211" s="236"/>
      <c r="J211" s="235">
        <v>1</v>
      </c>
      <c r="K211" s="237"/>
      <c r="L211" s="237">
        <f t="shared" si="17"/>
        <v>3.84</v>
      </c>
      <c r="M211" s="111"/>
      <c r="N211" s="111"/>
      <c r="O211" s="111"/>
      <c r="P211" s="111"/>
    </row>
    <row r="212" spans="3:16" s="170" customFormat="1" x14ac:dyDescent="0.3">
      <c r="C212" s="114"/>
      <c r="D212" s="233" t="s">
        <v>484</v>
      </c>
      <c r="E212" s="234" t="s">
        <v>0</v>
      </c>
      <c r="F212" s="235">
        <v>1</v>
      </c>
      <c r="G212" s="236">
        <v>2.95</v>
      </c>
      <c r="H212" s="236">
        <v>0.25</v>
      </c>
      <c r="I212" s="236"/>
      <c r="J212" s="235">
        <v>1</v>
      </c>
      <c r="K212" s="237"/>
      <c r="L212" s="237">
        <f t="shared" si="17"/>
        <v>0.73750000000000004</v>
      </c>
      <c r="M212" s="111"/>
      <c r="N212" s="111"/>
      <c r="O212" s="111"/>
      <c r="P212" s="111"/>
    </row>
    <row r="213" spans="3:16" s="170" customFormat="1" x14ac:dyDescent="0.3">
      <c r="C213" s="114"/>
      <c r="D213" s="233" t="s">
        <v>442</v>
      </c>
      <c r="E213" s="234" t="s">
        <v>0</v>
      </c>
      <c r="F213" s="235">
        <v>1</v>
      </c>
      <c r="G213" s="236">
        <v>3.3</v>
      </c>
      <c r="H213" s="236"/>
      <c r="I213" s="236">
        <f>0.1*2</f>
        <v>0.2</v>
      </c>
      <c r="J213" s="235">
        <v>1</v>
      </c>
      <c r="K213" s="237"/>
      <c r="L213" s="237">
        <f t="shared" si="17"/>
        <v>0.66</v>
      </c>
      <c r="M213" s="111"/>
      <c r="N213" s="111"/>
      <c r="O213" s="111"/>
      <c r="P213" s="111"/>
    </row>
    <row r="214" spans="3:16" s="170" customFormat="1" x14ac:dyDescent="0.3">
      <c r="C214" s="114"/>
      <c r="D214" s="233" t="s">
        <v>485</v>
      </c>
      <c r="E214" s="234" t="s">
        <v>0</v>
      </c>
      <c r="F214" s="235">
        <v>1</v>
      </c>
      <c r="G214" s="236">
        <v>2.95</v>
      </c>
      <c r="H214" s="236">
        <v>0.25</v>
      </c>
      <c r="I214" s="236"/>
      <c r="J214" s="235">
        <v>1</v>
      </c>
      <c r="K214" s="237"/>
      <c r="L214" s="237">
        <f t="shared" si="17"/>
        <v>0.73750000000000004</v>
      </c>
      <c r="M214" s="111"/>
      <c r="N214" s="111"/>
      <c r="O214" s="111"/>
      <c r="P214" s="111"/>
    </row>
    <row r="215" spans="3:16" s="170" customFormat="1" x14ac:dyDescent="0.3">
      <c r="C215" s="114"/>
      <c r="D215" s="233" t="s">
        <v>486</v>
      </c>
      <c r="E215" s="234" t="s">
        <v>0</v>
      </c>
      <c r="F215" s="235">
        <v>1</v>
      </c>
      <c r="G215" s="236">
        <v>6.4</v>
      </c>
      <c r="H215" s="236">
        <v>0.6</v>
      </c>
      <c r="I215" s="236"/>
      <c r="J215" s="235">
        <v>1</v>
      </c>
      <c r="K215" s="237"/>
      <c r="L215" s="237">
        <f t="shared" si="17"/>
        <v>3.84</v>
      </c>
      <c r="M215" s="111"/>
      <c r="N215" s="111"/>
      <c r="O215" s="111"/>
      <c r="P215" s="111"/>
    </row>
    <row r="216" spans="3:16" s="170" customFormat="1" x14ac:dyDescent="0.3">
      <c r="C216" s="114"/>
      <c r="D216" s="233" t="s">
        <v>487</v>
      </c>
      <c r="E216" s="234" t="s">
        <v>0</v>
      </c>
      <c r="F216" s="235">
        <v>1</v>
      </c>
      <c r="G216" s="236">
        <v>2.95</v>
      </c>
      <c r="H216" s="236">
        <v>0.25</v>
      </c>
      <c r="I216" s="236"/>
      <c r="J216" s="235">
        <v>1</v>
      </c>
      <c r="K216" s="237"/>
      <c r="L216" s="237">
        <f t="shared" si="17"/>
        <v>0.73750000000000004</v>
      </c>
      <c r="M216" s="111"/>
      <c r="N216" s="111"/>
      <c r="O216" s="111"/>
      <c r="P216" s="111"/>
    </row>
    <row r="217" spans="3:16" s="170" customFormat="1" x14ac:dyDescent="0.3">
      <c r="C217" s="114"/>
      <c r="D217" s="233" t="s">
        <v>443</v>
      </c>
      <c r="E217" s="234" t="s">
        <v>0</v>
      </c>
      <c r="F217" s="235">
        <v>1</v>
      </c>
      <c r="G217" s="236">
        <v>3.3</v>
      </c>
      <c r="H217" s="236"/>
      <c r="I217" s="236">
        <f>0.1</f>
        <v>0.1</v>
      </c>
      <c r="J217" s="235">
        <v>1</v>
      </c>
      <c r="K217" s="237"/>
      <c r="L217" s="237">
        <f t="shared" si="17"/>
        <v>0.33</v>
      </c>
      <c r="M217" s="111"/>
      <c r="N217" s="111"/>
      <c r="O217" s="111"/>
      <c r="P217" s="111"/>
    </row>
    <row r="218" spans="3:16" s="170" customFormat="1" x14ac:dyDescent="0.3">
      <c r="C218" s="114"/>
      <c r="D218" s="233" t="s">
        <v>488</v>
      </c>
      <c r="E218" s="234" t="s">
        <v>0</v>
      </c>
      <c r="F218" s="235">
        <v>1</v>
      </c>
      <c r="G218" s="236">
        <v>2.95</v>
      </c>
      <c r="H218" s="236">
        <v>0.25</v>
      </c>
      <c r="I218" s="236"/>
      <c r="J218" s="235">
        <v>1</v>
      </c>
      <c r="K218" s="237"/>
      <c r="L218" s="237">
        <f t="shared" si="17"/>
        <v>0.73750000000000004</v>
      </c>
      <c r="M218" s="111"/>
      <c r="N218" s="111"/>
      <c r="O218" s="111"/>
      <c r="P218" s="111"/>
    </row>
    <row r="219" spans="3:16" s="170" customFormat="1" x14ac:dyDescent="0.3">
      <c r="C219" s="114"/>
      <c r="D219" s="233" t="s">
        <v>238</v>
      </c>
      <c r="E219" s="234" t="s">
        <v>0</v>
      </c>
      <c r="F219" s="235">
        <v>12</v>
      </c>
      <c r="G219" s="236">
        <v>0.8</v>
      </c>
      <c r="H219" s="236">
        <v>0.15</v>
      </c>
      <c r="I219" s="236"/>
      <c r="J219" s="235">
        <v>1</v>
      </c>
      <c r="K219" s="237"/>
      <c r="L219" s="237">
        <f t="shared" si="17"/>
        <v>1.44</v>
      </c>
      <c r="M219" s="111"/>
      <c r="N219" s="111"/>
      <c r="O219" s="111"/>
      <c r="P219" s="111"/>
    </row>
    <row r="220" spans="3:16" s="170" customFormat="1" x14ac:dyDescent="0.3">
      <c r="C220" s="114"/>
      <c r="D220" s="233" t="s">
        <v>239</v>
      </c>
      <c r="E220" s="234" t="s">
        <v>0</v>
      </c>
      <c r="F220" s="235">
        <v>12</v>
      </c>
      <c r="G220" s="236">
        <v>0.5</v>
      </c>
      <c r="H220" s="236">
        <v>0.1</v>
      </c>
      <c r="I220" s="236"/>
      <c r="J220" s="235">
        <v>1</v>
      </c>
      <c r="K220" s="237"/>
      <c r="L220" s="237">
        <f t="shared" si="17"/>
        <v>0.60000000000000009</v>
      </c>
      <c r="M220" s="111"/>
      <c r="N220" s="111"/>
      <c r="O220" s="111"/>
      <c r="P220" s="111"/>
    </row>
    <row r="221" spans="3:16" s="170" customFormat="1" x14ac:dyDescent="0.3">
      <c r="C221" s="106"/>
      <c r="D221" s="115" t="s">
        <v>106</v>
      </c>
      <c r="E221" s="121"/>
      <c r="F221" s="3"/>
      <c r="G221" s="122"/>
      <c r="H221" s="122"/>
      <c r="I221" s="122"/>
      <c r="J221" s="3"/>
      <c r="K221" s="113"/>
      <c r="L221" s="113"/>
      <c r="M221" s="113"/>
      <c r="N221" s="113"/>
      <c r="O221" s="113"/>
      <c r="P221" s="113"/>
    </row>
    <row r="222" spans="3:16" s="170" customFormat="1" x14ac:dyDescent="0.3">
      <c r="C222" s="114"/>
      <c r="D222" s="233" t="s">
        <v>474</v>
      </c>
      <c r="E222" s="234" t="s">
        <v>0</v>
      </c>
      <c r="F222" s="235">
        <v>1</v>
      </c>
      <c r="G222" s="236">
        <v>3.65</v>
      </c>
      <c r="H222" s="236">
        <v>0.35</v>
      </c>
      <c r="I222" s="236"/>
      <c r="J222" s="235">
        <v>1</v>
      </c>
      <c r="K222" s="249"/>
      <c r="L222" s="237">
        <f>((I222)+H222)*F222*G222*J222</f>
        <v>1.2774999999999999</v>
      </c>
      <c r="M222" s="111"/>
      <c r="N222" s="111"/>
      <c r="O222" s="111"/>
      <c r="P222" s="111"/>
    </row>
    <row r="223" spans="3:16" s="170" customFormat="1" x14ac:dyDescent="0.3">
      <c r="C223" s="114"/>
      <c r="D223" s="233" t="s">
        <v>475</v>
      </c>
      <c r="E223" s="234" t="s">
        <v>0</v>
      </c>
      <c r="F223" s="235">
        <v>1</v>
      </c>
      <c r="G223" s="236">
        <v>3.65</v>
      </c>
      <c r="H223" s="236">
        <v>0.35</v>
      </c>
      <c r="I223" s="236"/>
      <c r="J223" s="235">
        <v>1</v>
      </c>
      <c r="K223" s="249"/>
      <c r="L223" s="237">
        <f t="shared" ref="L223:L245" si="18">((I223)+H223)*F223*G223*J223</f>
        <v>1.2774999999999999</v>
      </c>
      <c r="M223" s="111"/>
      <c r="N223" s="111"/>
      <c r="O223" s="111"/>
      <c r="P223" s="111"/>
    </row>
    <row r="224" spans="3:16" s="170" customFormat="1" x14ac:dyDescent="0.3">
      <c r="C224" s="114"/>
      <c r="D224" s="233" t="s">
        <v>476</v>
      </c>
      <c r="E224" s="234" t="s">
        <v>0</v>
      </c>
      <c r="F224" s="235">
        <v>1</v>
      </c>
      <c r="G224" s="236">
        <v>3.65</v>
      </c>
      <c r="H224" s="236">
        <v>0.35</v>
      </c>
      <c r="I224" s="236"/>
      <c r="J224" s="235">
        <v>1</v>
      </c>
      <c r="K224" s="249"/>
      <c r="L224" s="237">
        <f t="shared" si="18"/>
        <v>1.2774999999999999</v>
      </c>
      <c r="M224" s="111"/>
      <c r="N224" s="111"/>
      <c r="O224" s="111"/>
      <c r="P224" s="111"/>
    </row>
    <row r="225" spans="3:16" s="170" customFormat="1" x14ac:dyDescent="0.3">
      <c r="C225" s="114"/>
      <c r="D225" s="233" t="s">
        <v>477</v>
      </c>
      <c r="E225" s="234" t="s">
        <v>0</v>
      </c>
      <c r="F225" s="235">
        <v>1</v>
      </c>
      <c r="G225" s="236">
        <v>3.65</v>
      </c>
      <c r="H225" s="236">
        <v>0.35</v>
      </c>
      <c r="I225" s="236"/>
      <c r="J225" s="235">
        <v>1</v>
      </c>
      <c r="K225" s="237"/>
      <c r="L225" s="237">
        <f t="shared" si="18"/>
        <v>1.2774999999999999</v>
      </c>
      <c r="M225" s="111"/>
      <c r="N225" s="111"/>
      <c r="O225" s="111"/>
      <c r="P225" s="111"/>
    </row>
    <row r="226" spans="3:16" s="170" customFormat="1" x14ac:dyDescent="0.3">
      <c r="C226" s="114"/>
      <c r="D226" s="233" t="s">
        <v>437</v>
      </c>
      <c r="E226" s="234" t="s">
        <v>0</v>
      </c>
      <c r="F226" s="235">
        <v>1</v>
      </c>
      <c r="G226" s="236">
        <v>3.65</v>
      </c>
      <c r="H226" s="236">
        <v>0.1</v>
      </c>
      <c r="I226" s="236"/>
      <c r="J226" s="235">
        <v>1</v>
      </c>
      <c r="K226" s="237"/>
      <c r="L226" s="237">
        <f t="shared" si="18"/>
        <v>0.36499999999999999</v>
      </c>
      <c r="M226" s="111"/>
      <c r="N226" s="111"/>
      <c r="O226" s="111"/>
      <c r="P226" s="111"/>
    </row>
    <row r="227" spans="3:16" s="170" customFormat="1" x14ac:dyDescent="0.3">
      <c r="C227" s="114"/>
      <c r="D227" s="233" t="s">
        <v>438</v>
      </c>
      <c r="E227" s="234" t="s">
        <v>0</v>
      </c>
      <c r="F227" s="235">
        <v>1</v>
      </c>
      <c r="G227" s="236">
        <v>3.65</v>
      </c>
      <c r="H227" s="236">
        <v>0.1</v>
      </c>
      <c r="I227" s="236"/>
      <c r="J227" s="235">
        <v>1</v>
      </c>
      <c r="K227" s="237"/>
      <c r="L227" s="237">
        <f t="shared" si="18"/>
        <v>0.36499999999999999</v>
      </c>
      <c r="M227" s="111"/>
      <c r="N227" s="111"/>
      <c r="O227" s="111"/>
      <c r="P227" s="111"/>
    </row>
    <row r="228" spans="3:16" s="170" customFormat="1" x14ac:dyDescent="0.3">
      <c r="C228" s="114"/>
      <c r="D228" s="233" t="s">
        <v>439</v>
      </c>
      <c r="E228" s="234" t="s">
        <v>0</v>
      </c>
      <c r="F228" s="235">
        <v>1</v>
      </c>
      <c r="G228" s="236">
        <v>3.65</v>
      </c>
      <c r="H228" s="236">
        <v>0.1</v>
      </c>
      <c r="I228" s="236"/>
      <c r="J228" s="235">
        <v>1</v>
      </c>
      <c r="K228" s="237"/>
      <c r="L228" s="237">
        <f t="shared" si="18"/>
        <v>0.36499999999999999</v>
      </c>
      <c r="M228" s="111"/>
      <c r="N228" s="111"/>
      <c r="O228" s="111"/>
      <c r="P228" s="111"/>
    </row>
    <row r="229" spans="3:16" s="170" customFormat="1" x14ac:dyDescent="0.3">
      <c r="C229" s="114"/>
      <c r="D229" s="233" t="s">
        <v>440</v>
      </c>
      <c r="E229" s="234" t="s">
        <v>0</v>
      </c>
      <c r="F229" s="235">
        <v>1</v>
      </c>
      <c r="G229" s="236">
        <v>3.65</v>
      </c>
      <c r="H229" s="236">
        <v>0.1</v>
      </c>
      <c r="I229" s="236"/>
      <c r="J229" s="235">
        <v>1</v>
      </c>
      <c r="K229" s="237"/>
      <c r="L229" s="237">
        <f t="shared" si="18"/>
        <v>0.36499999999999999</v>
      </c>
      <c r="M229" s="111"/>
      <c r="N229" s="111"/>
      <c r="O229" s="111"/>
      <c r="P229" s="111"/>
    </row>
    <row r="230" spans="3:16" s="170" customFormat="1" x14ac:dyDescent="0.3">
      <c r="C230" s="114"/>
      <c r="D230" s="233" t="s">
        <v>478</v>
      </c>
      <c r="E230" s="234" t="s">
        <v>0</v>
      </c>
      <c r="F230" s="250">
        <v>2</v>
      </c>
      <c r="G230" s="251">
        <v>2.14</v>
      </c>
      <c r="H230" s="236">
        <v>0.35</v>
      </c>
      <c r="I230" s="236"/>
      <c r="J230" s="235">
        <v>1</v>
      </c>
      <c r="K230" s="237"/>
      <c r="L230" s="237">
        <f t="shared" si="18"/>
        <v>1.498</v>
      </c>
      <c r="M230" s="111"/>
      <c r="N230" s="111"/>
      <c r="O230" s="111"/>
      <c r="P230" s="111"/>
    </row>
    <row r="231" spans="3:16" s="170" customFormat="1" x14ac:dyDescent="0.3">
      <c r="C231" s="114"/>
      <c r="D231" s="233" t="s">
        <v>479</v>
      </c>
      <c r="E231" s="234" t="s">
        <v>0</v>
      </c>
      <c r="F231" s="250">
        <v>2</v>
      </c>
      <c r="G231" s="251">
        <v>2.14</v>
      </c>
      <c r="H231" s="236">
        <v>0.35</v>
      </c>
      <c r="I231" s="236"/>
      <c r="J231" s="235">
        <v>1</v>
      </c>
      <c r="K231" s="237"/>
      <c r="L231" s="237">
        <f t="shared" si="18"/>
        <v>1.498</v>
      </c>
      <c r="M231" s="111"/>
      <c r="N231" s="111"/>
      <c r="O231" s="111"/>
      <c r="P231" s="111"/>
    </row>
    <row r="232" spans="3:16" s="170" customFormat="1" x14ac:dyDescent="0.3">
      <c r="C232" s="114"/>
      <c r="D232" s="233" t="s">
        <v>480</v>
      </c>
      <c r="E232" s="234" t="s">
        <v>0</v>
      </c>
      <c r="F232" s="250">
        <v>2</v>
      </c>
      <c r="G232" s="251">
        <v>2.14</v>
      </c>
      <c r="H232" s="236">
        <v>0.35</v>
      </c>
      <c r="I232" s="236"/>
      <c r="J232" s="235">
        <v>1</v>
      </c>
      <c r="K232" s="237"/>
      <c r="L232" s="237">
        <f t="shared" si="18"/>
        <v>1.498</v>
      </c>
      <c r="M232" s="111"/>
      <c r="N232" s="111"/>
      <c r="O232" s="111"/>
      <c r="P232" s="111"/>
    </row>
    <row r="233" spans="3:16" s="170" customFormat="1" x14ac:dyDescent="0.3">
      <c r="C233" s="114"/>
      <c r="D233" s="233" t="s">
        <v>481</v>
      </c>
      <c r="E233" s="234" t="s">
        <v>0</v>
      </c>
      <c r="F233" s="250">
        <v>2</v>
      </c>
      <c r="G233" s="251">
        <v>2.14</v>
      </c>
      <c r="H233" s="236">
        <v>0.35</v>
      </c>
      <c r="I233" s="236"/>
      <c r="J233" s="235">
        <v>1</v>
      </c>
      <c r="K233" s="237"/>
      <c r="L233" s="237">
        <f t="shared" si="18"/>
        <v>1.498</v>
      </c>
      <c r="M233" s="111"/>
      <c r="N233" s="111"/>
      <c r="O233" s="111"/>
      <c r="P233" s="111"/>
    </row>
    <row r="234" spans="3:16" s="170" customFormat="1" x14ac:dyDescent="0.3">
      <c r="C234" s="114"/>
      <c r="D234" s="233" t="s">
        <v>441</v>
      </c>
      <c r="E234" s="234" t="s">
        <v>0</v>
      </c>
      <c r="F234" s="235">
        <v>1</v>
      </c>
      <c r="G234" s="236">
        <v>3.3</v>
      </c>
      <c r="H234" s="236"/>
      <c r="I234" s="236">
        <f>0.1</f>
        <v>0.1</v>
      </c>
      <c r="J234" s="235">
        <v>1</v>
      </c>
      <c r="K234" s="237"/>
      <c r="L234" s="237">
        <f t="shared" si="18"/>
        <v>0.33</v>
      </c>
      <c r="M234" s="111"/>
      <c r="N234" s="111"/>
      <c r="O234" s="111"/>
      <c r="P234" s="111"/>
    </row>
    <row r="235" spans="3:16" s="170" customFormat="1" x14ac:dyDescent="0.3">
      <c r="C235" s="114"/>
      <c r="D235" s="233" t="s">
        <v>482</v>
      </c>
      <c r="E235" s="234" t="s">
        <v>0</v>
      </c>
      <c r="F235" s="235">
        <v>1</v>
      </c>
      <c r="G235" s="236">
        <v>2.95</v>
      </c>
      <c r="H235" s="236">
        <v>0.25</v>
      </c>
      <c r="I235" s="236"/>
      <c r="J235" s="235">
        <v>1</v>
      </c>
      <c r="K235" s="237"/>
      <c r="L235" s="237">
        <f t="shared" si="18"/>
        <v>0.73750000000000004</v>
      </c>
      <c r="M235" s="111"/>
      <c r="N235" s="111"/>
      <c r="O235" s="111"/>
      <c r="P235" s="111"/>
    </row>
    <row r="236" spans="3:16" s="170" customFormat="1" x14ac:dyDescent="0.3">
      <c r="C236" s="114"/>
      <c r="D236" s="233" t="s">
        <v>483</v>
      </c>
      <c r="E236" s="234" t="s">
        <v>0</v>
      </c>
      <c r="F236" s="235">
        <v>1</v>
      </c>
      <c r="G236" s="236">
        <v>6.4</v>
      </c>
      <c r="H236" s="236">
        <v>0.6</v>
      </c>
      <c r="I236" s="236"/>
      <c r="J236" s="235">
        <v>1</v>
      </c>
      <c r="K236" s="237"/>
      <c r="L236" s="237">
        <f t="shared" si="18"/>
        <v>3.84</v>
      </c>
      <c r="M236" s="111"/>
      <c r="N236" s="111"/>
      <c r="O236" s="111"/>
      <c r="P236" s="111"/>
    </row>
    <row r="237" spans="3:16" s="170" customFormat="1" x14ac:dyDescent="0.3">
      <c r="C237" s="114"/>
      <c r="D237" s="233" t="s">
        <v>484</v>
      </c>
      <c r="E237" s="234" t="s">
        <v>0</v>
      </c>
      <c r="F237" s="235">
        <v>1</v>
      </c>
      <c r="G237" s="236">
        <v>2.95</v>
      </c>
      <c r="H237" s="236">
        <v>0.25</v>
      </c>
      <c r="I237" s="236"/>
      <c r="J237" s="235">
        <v>1</v>
      </c>
      <c r="K237" s="237"/>
      <c r="L237" s="237">
        <f t="shared" si="18"/>
        <v>0.73750000000000004</v>
      </c>
      <c r="M237" s="111"/>
      <c r="N237" s="111"/>
      <c r="O237" s="111"/>
      <c r="P237" s="111"/>
    </row>
    <row r="238" spans="3:16" s="170" customFormat="1" x14ac:dyDescent="0.3">
      <c r="C238" s="114"/>
      <c r="D238" s="233" t="s">
        <v>442</v>
      </c>
      <c r="E238" s="234" t="s">
        <v>0</v>
      </c>
      <c r="F238" s="235">
        <v>1</v>
      </c>
      <c r="G238" s="236">
        <v>3.3</v>
      </c>
      <c r="H238" s="236"/>
      <c r="I238" s="236">
        <f>0.1*2</f>
        <v>0.2</v>
      </c>
      <c r="J238" s="235">
        <v>1</v>
      </c>
      <c r="K238" s="237"/>
      <c r="L238" s="237">
        <f t="shared" si="18"/>
        <v>0.66</v>
      </c>
      <c r="M238" s="111"/>
      <c r="N238" s="111"/>
      <c r="O238" s="111"/>
      <c r="P238" s="111"/>
    </row>
    <row r="239" spans="3:16" s="170" customFormat="1" x14ac:dyDescent="0.3">
      <c r="C239" s="114"/>
      <c r="D239" s="233" t="s">
        <v>485</v>
      </c>
      <c r="E239" s="234" t="s">
        <v>0</v>
      </c>
      <c r="F239" s="235">
        <v>1</v>
      </c>
      <c r="G239" s="236">
        <v>2.95</v>
      </c>
      <c r="H239" s="236">
        <v>0.25</v>
      </c>
      <c r="I239" s="236"/>
      <c r="J239" s="235">
        <v>1</v>
      </c>
      <c r="K239" s="237"/>
      <c r="L239" s="237">
        <f t="shared" si="18"/>
        <v>0.73750000000000004</v>
      </c>
      <c r="M239" s="111"/>
      <c r="N239" s="111"/>
      <c r="O239" s="111"/>
      <c r="P239" s="111"/>
    </row>
    <row r="240" spans="3:16" s="170" customFormat="1" x14ac:dyDescent="0.3">
      <c r="C240" s="114"/>
      <c r="D240" s="233" t="s">
        <v>486</v>
      </c>
      <c r="E240" s="234" t="s">
        <v>0</v>
      </c>
      <c r="F240" s="235">
        <v>1</v>
      </c>
      <c r="G240" s="236">
        <v>6.4</v>
      </c>
      <c r="H240" s="236">
        <v>0.6</v>
      </c>
      <c r="I240" s="236"/>
      <c r="J240" s="235">
        <v>1</v>
      </c>
      <c r="K240" s="237"/>
      <c r="L240" s="237">
        <f t="shared" si="18"/>
        <v>3.84</v>
      </c>
      <c r="M240" s="111"/>
      <c r="N240" s="111"/>
      <c r="O240" s="111"/>
      <c r="P240" s="111"/>
    </row>
    <row r="241" spans="3:16" s="170" customFormat="1" x14ac:dyDescent="0.3">
      <c r="C241" s="114"/>
      <c r="D241" s="233" t="s">
        <v>487</v>
      </c>
      <c r="E241" s="234" t="s">
        <v>0</v>
      </c>
      <c r="F241" s="235">
        <v>1</v>
      </c>
      <c r="G241" s="236">
        <v>2.95</v>
      </c>
      <c r="H241" s="236">
        <v>0.25</v>
      </c>
      <c r="I241" s="236"/>
      <c r="J241" s="235">
        <v>1</v>
      </c>
      <c r="K241" s="237"/>
      <c r="L241" s="237">
        <f t="shared" si="18"/>
        <v>0.73750000000000004</v>
      </c>
      <c r="M241" s="111"/>
      <c r="N241" s="111"/>
      <c r="O241" s="111"/>
      <c r="P241" s="111"/>
    </row>
    <row r="242" spans="3:16" s="170" customFormat="1" x14ac:dyDescent="0.3">
      <c r="C242" s="114"/>
      <c r="D242" s="233" t="s">
        <v>443</v>
      </c>
      <c r="E242" s="234" t="s">
        <v>0</v>
      </c>
      <c r="F242" s="235">
        <v>1</v>
      </c>
      <c r="G242" s="236">
        <v>3.3</v>
      </c>
      <c r="H242" s="236"/>
      <c r="I242" s="236">
        <f>0.1</f>
        <v>0.1</v>
      </c>
      <c r="J242" s="235">
        <v>1</v>
      </c>
      <c r="K242" s="237"/>
      <c r="L242" s="237">
        <f t="shared" si="18"/>
        <v>0.33</v>
      </c>
      <c r="M242" s="111"/>
      <c r="N242" s="111"/>
      <c r="O242" s="111"/>
      <c r="P242" s="111"/>
    </row>
    <row r="243" spans="3:16" s="170" customFormat="1" x14ac:dyDescent="0.3">
      <c r="C243" s="114"/>
      <c r="D243" s="233" t="s">
        <v>488</v>
      </c>
      <c r="E243" s="234" t="s">
        <v>0</v>
      </c>
      <c r="F243" s="235">
        <v>1</v>
      </c>
      <c r="G243" s="236">
        <v>2.95</v>
      </c>
      <c r="H243" s="236">
        <v>0.25</v>
      </c>
      <c r="I243" s="236"/>
      <c r="J243" s="235">
        <v>1</v>
      </c>
      <c r="K243" s="237"/>
      <c r="L243" s="237">
        <f t="shared" si="18"/>
        <v>0.73750000000000004</v>
      </c>
      <c r="M243" s="111"/>
      <c r="N243" s="111"/>
      <c r="O243" s="111"/>
      <c r="P243" s="111"/>
    </row>
    <row r="244" spans="3:16" s="170" customFormat="1" x14ac:dyDescent="0.3">
      <c r="C244" s="114"/>
      <c r="D244" s="233" t="s">
        <v>238</v>
      </c>
      <c r="E244" s="234" t="s">
        <v>0</v>
      </c>
      <c r="F244" s="235">
        <v>12</v>
      </c>
      <c r="G244" s="236">
        <v>0.8</v>
      </c>
      <c r="H244" s="236">
        <v>0.15</v>
      </c>
      <c r="I244" s="236"/>
      <c r="J244" s="235">
        <v>1</v>
      </c>
      <c r="K244" s="237"/>
      <c r="L244" s="237">
        <f t="shared" si="18"/>
        <v>1.44</v>
      </c>
      <c r="M244" s="111"/>
      <c r="N244" s="111"/>
      <c r="O244" s="111"/>
      <c r="P244" s="111"/>
    </row>
    <row r="245" spans="3:16" s="170" customFormat="1" x14ac:dyDescent="0.3">
      <c r="C245" s="114"/>
      <c r="D245" s="233" t="s">
        <v>239</v>
      </c>
      <c r="E245" s="234" t="s">
        <v>0</v>
      </c>
      <c r="F245" s="235">
        <v>12</v>
      </c>
      <c r="G245" s="236">
        <v>0.5</v>
      </c>
      <c r="H245" s="236">
        <v>0.1</v>
      </c>
      <c r="I245" s="236"/>
      <c r="J245" s="235">
        <v>1</v>
      </c>
      <c r="K245" s="237"/>
      <c r="L245" s="237">
        <f t="shared" si="18"/>
        <v>0.60000000000000009</v>
      </c>
      <c r="M245" s="111"/>
      <c r="N245" s="111"/>
      <c r="O245" s="111"/>
      <c r="P245" s="111"/>
    </row>
    <row r="246" spans="3:16" s="170" customFormat="1" x14ac:dyDescent="0.3">
      <c r="C246" s="106"/>
      <c r="D246" s="115" t="s">
        <v>489</v>
      </c>
      <c r="E246" s="121"/>
      <c r="F246" s="3"/>
      <c r="G246" s="122"/>
      <c r="H246" s="122"/>
      <c r="I246" s="122"/>
      <c r="J246" s="3"/>
      <c r="K246" s="113"/>
      <c r="L246" s="113"/>
      <c r="M246" s="113"/>
      <c r="N246" s="113"/>
      <c r="O246" s="113"/>
      <c r="P246" s="113"/>
    </row>
    <row r="247" spans="3:16" s="170" customFormat="1" x14ac:dyDescent="0.3">
      <c r="C247" s="114"/>
      <c r="D247" s="233" t="s">
        <v>490</v>
      </c>
      <c r="E247" s="234" t="s">
        <v>0</v>
      </c>
      <c r="F247" s="235">
        <v>1</v>
      </c>
      <c r="G247" s="236">
        <v>2.5</v>
      </c>
      <c r="H247" s="236"/>
      <c r="I247" s="236">
        <v>0.05</v>
      </c>
      <c r="J247" s="235">
        <v>1</v>
      </c>
      <c r="K247" s="237"/>
      <c r="L247" s="237">
        <f t="shared" ref="L247:L270" si="19">((I247)+H247)*F247*G247*J247</f>
        <v>0.125</v>
      </c>
      <c r="M247" s="111"/>
      <c r="N247" s="111"/>
      <c r="O247" s="111"/>
      <c r="P247" s="111"/>
    </row>
    <row r="248" spans="3:16" s="170" customFormat="1" x14ac:dyDescent="0.3">
      <c r="C248" s="114"/>
      <c r="D248" s="233" t="s">
        <v>491</v>
      </c>
      <c r="E248" s="234" t="s">
        <v>0</v>
      </c>
      <c r="F248" s="235">
        <v>1</v>
      </c>
      <c r="G248" s="236">
        <v>2.5</v>
      </c>
      <c r="H248" s="236"/>
      <c r="I248" s="236">
        <v>0.05</v>
      </c>
      <c r="J248" s="235">
        <v>1</v>
      </c>
      <c r="K248" s="237"/>
      <c r="L248" s="237">
        <f t="shared" si="19"/>
        <v>0.125</v>
      </c>
      <c r="M248" s="111"/>
      <c r="N248" s="111"/>
      <c r="O248" s="111"/>
      <c r="P248" s="111"/>
    </row>
    <row r="249" spans="3:16" s="170" customFormat="1" x14ac:dyDescent="0.3">
      <c r="C249" s="114"/>
      <c r="D249" s="233" t="s">
        <v>492</v>
      </c>
      <c r="E249" s="234" t="s">
        <v>0</v>
      </c>
      <c r="F249" s="235">
        <v>1</v>
      </c>
      <c r="G249" s="236">
        <v>2.5</v>
      </c>
      <c r="H249" s="236"/>
      <c r="I249" s="236">
        <v>0.05</v>
      </c>
      <c r="J249" s="235">
        <v>1</v>
      </c>
      <c r="K249" s="237"/>
      <c r="L249" s="237">
        <f t="shared" si="19"/>
        <v>0.125</v>
      </c>
      <c r="M249" s="111"/>
      <c r="N249" s="111"/>
      <c r="O249" s="111"/>
      <c r="P249" s="111"/>
    </row>
    <row r="250" spans="3:16" s="170" customFormat="1" x14ac:dyDescent="0.3">
      <c r="C250" s="114"/>
      <c r="D250" s="233" t="s">
        <v>493</v>
      </c>
      <c r="E250" s="234" t="s">
        <v>0</v>
      </c>
      <c r="F250" s="235">
        <v>1</v>
      </c>
      <c r="G250" s="236">
        <v>2.5</v>
      </c>
      <c r="H250" s="236"/>
      <c r="I250" s="236">
        <v>0.05</v>
      </c>
      <c r="J250" s="235">
        <v>1</v>
      </c>
      <c r="K250" s="237"/>
      <c r="L250" s="237">
        <f t="shared" si="19"/>
        <v>0.125</v>
      </c>
      <c r="M250" s="111"/>
      <c r="N250" s="111"/>
      <c r="O250" s="111"/>
      <c r="P250" s="111"/>
    </row>
    <row r="251" spans="3:16" s="170" customFormat="1" x14ac:dyDescent="0.3">
      <c r="C251" s="114"/>
      <c r="D251" s="233" t="s">
        <v>494</v>
      </c>
      <c r="E251" s="234" t="s">
        <v>0</v>
      </c>
      <c r="F251" s="235">
        <v>1</v>
      </c>
      <c r="G251" s="236">
        <v>2.5</v>
      </c>
      <c r="H251" s="236"/>
      <c r="I251" s="236">
        <v>0.05</v>
      </c>
      <c r="J251" s="235">
        <v>1</v>
      </c>
      <c r="K251" s="237"/>
      <c r="L251" s="237">
        <f t="shared" si="19"/>
        <v>0.125</v>
      </c>
      <c r="M251" s="111"/>
      <c r="N251" s="111"/>
      <c r="O251" s="111"/>
      <c r="P251" s="111"/>
    </row>
    <row r="252" spans="3:16" s="170" customFormat="1" x14ac:dyDescent="0.3">
      <c r="C252" s="114"/>
      <c r="D252" s="233" t="s">
        <v>495</v>
      </c>
      <c r="E252" s="234" t="s">
        <v>0</v>
      </c>
      <c r="F252" s="235">
        <v>1</v>
      </c>
      <c r="G252" s="236">
        <v>2.5</v>
      </c>
      <c r="H252" s="236"/>
      <c r="I252" s="236">
        <v>0.05</v>
      </c>
      <c r="J252" s="235">
        <v>1</v>
      </c>
      <c r="K252" s="237"/>
      <c r="L252" s="237">
        <f t="shared" si="19"/>
        <v>0.125</v>
      </c>
      <c r="M252" s="111"/>
      <c r="N252" s="111"/>
      <c r="O252" s="111"/>
      <c r="P252" s="111"/>
    </row>
    <row r="253" spans="3:16" s="170" customFormat="1" x14ac:dyDescent="0.3">
      <c r="C253" s="114"/>
      <c r="D253" s="233" t="s">
        <v>496</v>
      </c>
      <c r="E253" s="234" t="s">
        <v>0</v>
      </c>
      <c r="F253" s="235">
        <v>1</v>
      </c>
      <c r="G253" s="236">
        <v>2.5</v>
      </c>
      <c r="H253" s="236"/>
      <c r="I253" s="236">
        <v>0.05</v>
      </c>
      <c r="J253" s="235">
        <v>1</v>
      </c>
      <c r="K253" s="237"/>
      <c r="L253" s="237">
        <f t="shared" si="19"/>
        <v>0.125</v>
      </c>
      <c r="M253" s="111"/>
      <c r="N253" s="111"/>
      <c r="O253" s="111"/>
      <c r="P253" s="111"/>
    </row>
    <row r="254" spans="3:16" s="170" customFormat="1" x14ac:dyDescent="0.3">
      <c r="C254" s="114"/>
      <c r="D254" s="233" t="s">
        <v>497</v>
      </c>
      <c r="E254" s="234" t="s">
        <v>0</v>
      </c>
      <c r="F254" s="235">
        <v>1</v>
      </c>
      <c r="G254" s="236">
        <v>2.5</v>
      </c>
      <c r="H254" s="236"/>
      <c r="I254" s="236">
        <v>0.05</v>
      </c>
      <c r="J254" s="235">
        <v>1</v>
      </c>
      <c r="K254" s="237"/>
      <c r="L254" s="237">
        <f t="shared" si="19"/>
        <v>0.125</v>
      </c>
      <c r="M254" s="111"/>
      <c r="N254" s="111"/>
      <c r="O254" s="111"/>
      <c r="P254" s="111"/>
    </row>
    <row r="255" spans="3:16" s="170" customFormat="1" x14ac:dyDescent="0.3">
      <c r="C255" s="114"/>
      <c r="D255" s="233" t="s">
        <v>498</v>
      </c>
      <c r="E255" s="234" t="s">
        <v>0</v>
      </c>
      <c r="F255" s="235">
        <v>1</v>
      </c>
      <c r="G255" s="236">
        <v>2.5</v>
      </c>
      <c r="H255" s="236"/>
      <c r="I255" s="236">
        <f>0.05*2</f>
        <v>0.1</v>
      </c>
      <c r="J255" s="235">
        <v>1</v>
      </c>
      <c r="K255" s="237"/>
      <c r="L255" s="237">
        <f t="shared" si="19"/>
        <v>0.25</v>
      </c>
      <c r="M255" s="111"/>
      <c r="N255" s="111"/>
      <c r="O255" s="111"/>
      <c r="P255" s="111"/>
    </row>
    <row r="256" spans="3:16" s="170" customFormat="1" x14ac:dyDescent="0.3">
      <c r="C256" s="114"/>
      <c r="D256" s="233" t="s">
        <v>499</v>
      </c>
      <c r="E256" s="234" t="s">
        <v>0</v>
      </c>
      <c r="F256" s="235">
        <v>1</v>
      </c>
      <c r="G256" s="236">
        <v>2.5</v>
      </c>
      <c r="H256" s="236"/>
      <c r="I256" s="236">
        <f t="shared" ref="I256:I262" si="20">0.05*2</f>
        <v>0.1</v>
      </c>
      <c r="J256" s="235">
        <v>1</v>
      </c>
      <c r="K256" s="237"/>
      <c r="L256" s="237">
        <f t="shared" si="19"/>
        <v>0.25</v>
      </c>
      <c r="M256" s="111"/>
      <c r="N256" s="111"/>
      <c r="O256" s="111"/>
      <c r="P256" s="111"/>
    </row>
    <row r="257" spans="1:16" s="170" customFormat="1" x14ac:dyDescent="0.3">
      <c r="C257" s="114"/>
      <c r="D257" s="233" t="s">
        <v>500</v>
      </c>
      <c r="E257" s="234" t="s">
        <v>0</v>
      </c>
      <c r="F257" s="235">
        <v>1</v>
      </c>
      <c r="G257" s="236">
        <v>2.5</v>
      </c>
      <c r="H257" s="236"/>
      <c r="I257" s="236">
        <f t="shared" si="20"/>
        <v>0.1</v>
      </c>
      <c r="J257" s="235">
        <v>1</v>
      </c>
      <c r="K257" s="237"/>
      <c r="L257" s="237">
        <f t="shared" si="19"/>
        <v>0.25</v>
      </c>
      <c r="M257" s="111"/>
      <c r="N257" s="111"/>
      <c r="O257" s="111"/>
      <c r="P257" s="111"/>
    </row>
    <row r="258" spans="1:16" x14ac:dyDescent="0.3">
      <c r="A258" s="8">
        <v>3</v>
      </c>
      <c r="C258" s="114"/>
      <c r="D258" s="233" t="s">
        <v>501</v>
      </c>
      <c r="E258" s="234" t="s">
        <v>0</v>
      </c>
      <c r="F258" s="235">
        <v>1</v>
      </c>
      <c r="G258" s="236">
        <v>2.5</v>
      </c>
      <c r="H258" s="236"/>
      <c r="I258" s="236">
        <f t="shared" si="20"/>
        <v>0.1</v>
      </c>
      <c r="J258" s="235">
        <v>1</v>
      </c>
      <c r="K258" s="237"/>
      <c r="L258" s="237">
        <f t="shared" si="19"/>
        <v>0.25</v>
      </c>
      <c r="M258" s="111"/>
      <c r="N258" s="111"/>
      <c r="O258" s="111"/>
      <c r="P258" s="111"/>
    </row>
    <row r="259" spans="1:16" x14ac:dyDescent="0.3">
      <c r="C259" s="114"/>
      <c r="D259" s="233" t="s">
        <v>502</v>
      </c>
      <c r="E259" s="234" t="s">
        <v>0</v>
      </c>
      <c r="F259" s="235">
        <v>1</v>
      </c>
      <c r="G259" s="236">
        <v>2.5</v>
      </c>
      <c r="H259" s="236"/>
      <c r="I259" s="236">
        <f t="shared" si="20"/>
        <v>0.1</v>
      </c>
      <c r="J259" s="235">
        <v>1</v>
      </c>
      <c r="K259" s="237"/>
      <c r="L259" s="237">
        <f t="shared" si="19"/>
        <v>0.25</v>
      </c>
      <c r="M259" s="111"/>
      <c r="N259" s="111"/>
      <c r="O259" s="111"/>
      <c r="P259" s="111"/>
    </row>
    <row r="260" spans="1:16" x14ac:dyDescent="0.3">
      <c r="C260" s="114"/>
      <c r="D260" s="233" t="s">
        <v>503</v>
      </c>
      <c r="E260" s="234" t="s">
        <v>0</v>
      </c>
      <c r="F260" s="235">
        <v>1</v>
      </c>
      <c r="G260" s="236">
        <v>2.5</v>
      </c>
      <c r="H260" s="236"/>
      <c r="I260" s="236">
        <f t="shared" si="20"/>
        <v>0.1</v>
      </c>
      <c r="J260" s="235">
        <v>1</v>
      </c>
      <c r="K260" s="237"/>
      <c r="L260" s="237">
        <f t="shared" si="19"/>
        <v>0.25</v>
      </c>
      <c r="M260" s="111"/>
      <c r="N260" s="111"/>
      <c r="O260" s="111"/>
      <c r="P260" s="111"/>
    </row>
    <row r="261" spans="1:16" x14ac:dyDescent="0.3">
      <c r="C261" s="114"/>
      <c r="D261" s="233" t="s">
        <v>504</v>
      </c>
      <c r="E261" s="234" t="s">
        <v>0</v>
      </c>
      <c r="F261" s="235">
        <v>1</v>
      </c>
      <c r="G261" s="236">
        <v>2.5</v>
      </c>
      <c r="H261" s="236"/>
      <c r="I261" s="236">
        <f t="shared" si="20"/>
        <v>0.1</v>
      </c>
      <c r="J261" s="235">
        <v>1</v>
      </c>
      <c r="K261" s="237"/>
      <c r="L261" s="237">
        <f t="shared" si="19"/>
        <v>0.25</v>
      </c>
      <c r="M261" s="111"/>
      <c r="N261" s="111"/>
      <c r="O261" s="111"/>
      <c r="P261" s="111"/>
    </row>
    <row r="262" spans="1:16" x14ac:dyDescent="0.3">
      <c r="C262" s="114"/>
      <c r="D262" s="233" t="s">
        <v>505</v>
      </c>
      <c r="E262" s="234" t="s">
        <v>0</v>
      </c>
      <c r="F262" s="235">
        <v>1</v>
      </c>
      <c r="G262" s="236">
        <v>2.5</v>
      </c>
      <c r="H262" s="236"/>
      <c r="I262" s="236">
        <f t="shared" si="20"/>
        <v>0.1</v>
      </c>
      <c r="J262" s="235">
        <v>1</v>
      </c>
      <c r="K262" s="237"/>
      <c r="L262" s="237">
        <f t="shared" si="19"/>
        <v>0.25</v>
      </c>
      <c r="M262" s="111"/>
      <c r="N262" s="111"/>
      <c r="O262" s="111"/>
      <c r="P262" s="111"/>
    </row>
    <row r="263" spans="1:16" x14ac:dyDescent="0.3">
      <c r="C263" s="114"/>
      <c r="D263" s="233" t="s">
        <v>506</v>
      </c>
      <c r="E263" s="234" t="s">
        <v>0</v>
      </c>
      <c r="F263" s="235">
        <v>1</v>
      </c>
      <c r="G263" s="236">
        <v>2.5</v>
      </c>
      <c r="H263" s="236"/>
      <c r="I263" s="236">
        <f>0.35+0.05</f>
        <v>0.39999999999999997</v>
      </c>
      <c r="J263" s="235">
        <v>1</v>
      </c>
      <c r="K263" s="237"/>
      <c r="L263" s="237">
        <f t="shared" si="19"/>
        <v>0.99999999999999989</v>
      </c>
      <c r="M263" s="111"/>
      <c r="N263" s="111"/>
      <c r="O263" s="111"/>
      <c r="P263" s="111"/>
    </row>
    <row r="264" spans="1:16" x14ac:dyDescent="0.3">
      <c r="C264" s="114"/>
      <c r="D264" s="233" t="s">
        <v>507</v>
      </c>
      <c r="E264" s="234" t="s">
        <v>0</v>
      </c>
      <c r="F264" s="235">
        <v>1</v>
      </c>
      <c r="G264" s="236">
        <v>2.5</v>
      </c>
      <c r="H264" s="236"/>
      <c r="I264" s="236">
        <f t="shared" ref="I264:I270" si="21">0.35+0.05</f>
        <v>0.39999999999999997</v>
      </c>
      <c r="J264" s="235">
        <v>1</v>
      </c>
      <c r="K264" s="237"/>
      <c r="L264" s="237">
        <f t="shared" si="19"/>
        <v>0.99999999999999989</v>
      </c>
      <c r="M264" s="111"/>
      <c r="N264" s="111"/>
      <c r="O264" s="111"/>
      <c r="P264" s="111"/>
    </row>
    <row r="265" spans="1:16" x14ac:dyDescent="0.3">
      <c r="C265" s="114"/>
      <c r="D265" s="233" t="s">
        <v>508</v>
      </c>
      <c r="E265" s="234" t="s">
        <v>0</v>
      </c>
      <c r="F265" s="235">
        <v>1</v>
      </c>
      <c r="G265" s="236">
        <v>2.5</v>
      </c>
      <c r="H265" s="236"/>
      <c r="I265" s="236">
        <f t="shared" si="21"/>
        <v>0.39999999999999997</v>
      </c>
      <c r="J265" s="235">
        <v>1</v>
      </c>
      <c r="K265" s="237"/>
      <c r="L265" s="237">
        <f t="shared" si="19"/>
        <v>0.99999999999999989</v>
      </c>
      <c r="M265" s="111"/>
      <c r="N265" s="111"/>
      <c r="O265" s="111"/>
      <c r="P265" s="111"/>
    </row>
    <row r="266" spans="1:16" x14ac:dyDescent="0.3">
      <c r="C266" s="114"/>
      <c r="D266" s="233" t="s">
        <v>509</v>
      </c>
      <c r="E266" s="234" t="s">
        <v>0</v>
      </c>
      <c r="F266" s="235">
        <v>1</v>
      </c>
      <c r="G266" s="236">
        <v>2.5</v>
      </c>
      <c r="H266" s="236"/>
      <c r="I266" s="236">
        <f t="shared" si="21"/>
        <v>0.39999999999999997</v>
      </c>
      <c r="J266" s="235">
        <v>1</v>
      </c>
      <c r="K266" s="237"/>
      <c r="L266" s="237">
        <f t="shared" si="19"/>
        <v>0.99999999999999989</v>
      </c>
      <c r="M266" s="111"/>
      <c r="N266" s="111"/>
      <c r="O266" s="111"/>
      <c r="P266" s="111"/>
    </row>
    <row r="267" spans="1:16" x14ac:dyDescent="0.3">
      <c r="C267" s="114"/>
      <c r="D267" s="233" t="s">
        <v>510</v>
      </c>
      <c r="E267" s="234" t="s">
        <v>0</v>
      </c>
      <c r="F267" s="235">
        <v>1</v>
      </c>
      <c r="G267" s="236">
        <v>2.5</v>
      </c>
      <c r="H267" s="236"/>
      <c r="I267" s="236">
        <f t="shared" si="21"/>
        <v>0.39999999999999997</v>
      </c>
      <c r="J267" s="235">
        <v>1</v>
      </c>
      <c r="K267" s="237"/>
      <c r="L267" s="237">
        <f t="shared" si="19"/>
        <v>0.99999999999999989</v>
      </c>
      <c r="M267" s="111"/>
      <c r="N267" s="111"/>
      <c r="O267" s="111"/>
      <c r="P267" s="111"/>
    </row>
    <row r="268" spans="1:16" x14ac:dyDescent="0.3">
      <c r="C268" s="114"/>
      <c r="D268" s="233" t="s">
        <v>511</v>
      </c>
      <c r="E268" s="234" t="s">
        <v>0</v>
      </c>
      <c r="F268" s="235">
        <v>1</v>
      </c>
      <c r="G268" s="236">
        <v>2.5</v>
      </c>
      <c r="H268" s="236"/>
      <c r="I268" s="236">
        <f t="shared" si="21"/>
        <v>0.39999999999999997</v>
      </c>
      <c r="J268" s="235">
        <v>1</v>
      </c>
      <c r="K268" s="237"/>
      <c r="L268" s="237">
        <f t="shared" si="19"/>
        <v>0.99999999999999989</v>
      </c>
      <c r="M268" s="111"/>
      <c r="N268" s="111"/>
      <c r="O268" s="111"/>
      <c r="P268" s="111"/>
    </row>
    <row r="269" spans="1:16" x14ac:dyDescent="0.3">
      <c r="C269" s="114"/>
      <c r="D269" s="233" t="s">
        <v>512</v>
      </c>
      <c r="E269" s="234" t="s">
        <v>0</v>
      </c>
      <c r="F269" s="235">
        <v>1</v>
      </c>
      <c r="G269" s="236">
        <v>2.5</v>
      </c>
      <c r="H269" s="236"/>
      <c r="I269" s="236">
        <f t="shared" si="21"/>
        <v>0.39999999999999997</v>
      </c>
      <c r="J269" s="235">
        <v>1</v>
      </c>
      <c r="K269" s="237"/>
      <c r="L269" s="237">
        <f t="shared" si="19"/>
        <v>0.99999999999999989</v>
      </c>
      <c r="M269" s="111"/>
      <c r="N269" s="111"/>
      <c r="O269" s="111"/>
      <c r="P269" s="111"/>
    </row>
    <row r="270" spans="1:16" x14ac:dyDescent="0.3">
      <c r="C270" s="114"/>
      <c r="D270" s="233" t="s">
        <v>513</v>
      </c>
      <c r="E270" s="234" t="s">
        <v>0</v>
      </c>
      <c r="F270" s="235">
        <v>1</v>
      </c>
      <c r="G270" s="236">
        <v>2.5</v>
      </c>
      <c r="H270" s="236"/>
      <c r="I270" s="236">
        <f t="shared" si="21"/>
        <v>0.39999999999999997</v>
      </c>
      <c r="J270" s="235">
        <v>1</v>
      </c>
      <c r="K270" s="237"/>
      <c r="L270" s="237">
        <f t="shared" si="19"/>
        <v>0.99999999999999989</v>
      </c>
      <c r="M270" s="111"/>
      <c r="N270" s="111"/>
      <c r="O270" s="111"/>
      <c r="P270" s="111"/>
    </row>
    <row r="271" spans="1:16" ht="14.4" x14ac:dyDescent="0.3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3">
      <c r="C272" s="99" t="s">
        <v>1184</v>
      </c>
      <c r="D272" s="226" t="s">
        <v>420</v>
      </c>
      <c r="E272" s="101" t="s">
        <v>0</v>
      </c>
      <c r="F272" s="1"/>
      <c r="G272" s="2"/>
      <c r="H272" s="2"/>
      <c r="I272" s="2"/>
      <c r="J272" s="3"/>
      <c r="K272" s="103"/>
      <c r="L272" s="103"/>
      <c r="M272" s="103"/>
      <c r="N272" s="103"/>
      <c r="O272" s="103"/>
      <c r="P272" s="103">
        <f>SUM(L272:L296)</f>
        <v>52.47</v>
      </c>
    </row>
    <row r="273" spans="1:16" x14ac:dyDescent="0.3">
      <c r="C273" s="118"/>
      <c r="D273" s="252" t="s">
        <v>514</v>
      </c>
      <c r="E273" s="101"/>
      <c r="F273" s="1"/>
      <c r="G273" s="2"/>
      <c r="H273" s="2"/>
      <c r="I273" s="2"/>
      <c r="J273" s="3"/>
      <c r="K273" s="113"/>
      <c r="L273" s="113"/>
      <c r="M273" s="113"/>
      <c r="N273" s="113"/>
      <c r="O273" s="113"/>
      <c r="P273" s="113"/>
    </row>
    <row r="274" spans="1:16" x14ac:dyDescent="0.3">
      <c r="C274" s="118"/>
      <c r="D274" s="253" t="s">
        <v>127</v>
      </c>
      <c r="E274" s="254"/>
      <c r="F274" s="255"/>
      <c r="G274" s="256"/>
      <c r="H274" s="256"/>
      <c r="I274" s="256"/>
      <c r="J274" s="229"/>
      <c r="K274" s="231"/>
      <c r="L274" s="231"/>
      <c r="M274" s="113"/>
      <c r="N274" s="113"/>
      <c r="O274" s="113"/>
      <c r="P274" s="113"/>
    </row>
    <row r="275" spans="1:16" s="170" customFormat="1" x14ac:dyDescent="0.3">
      <c r="C275" s="118"/>
      <c r="D275" s="257" t="s">
        <v>266</v>
      </c>
      <c r="E275" s="254"/>
      <c r="F275" s="255"/>
      <c r="G275" s="256"/>
      <c r="H275" s="256"/>
      <c r="I275" s="256"/>
      <c r="J275" s="229"/>
      <c r="K275" s="231"/>
      <c r="L275" s="231"/>
      <c r="M275" s="113"/>
      <c r="N275" s="113"/>
      <c r="O275" s="113"/>
      <c r="P275" s="113"/>
    </row>
    <row r="276" spans="1:16" x14ac:dyDescent="0.3">
      <c r="A276" s="8">
        <v>3</v>
      </c>
      <c r="C276" s="114"/>
      <c r="D276" s="233" t="s">
        <v>139</v>
      </c>
      <c r="E276" s="234" t="s">
        <v>0</v>
      </c>
      <c r="F276" s="235">
        <v>12</v>
      </c>
      <c r="G276" s="236">
        <v>0.15</v>
      </c>
      <c r="H276" s="236">
        <v>0.55000000000000004</v>
      </c>
      <c r="I276" s="236">
        <v>8</v>
      </c>
      <c r="J276" s="235">
        <v>1</v>
      </c>
      <c r="K276" s="237"/>
      <c r="L276" s="237">
        <f>((H276+I276)*2)*F276*G276*J276</f>
        <v>30.78</v>
      </c>
      <c r="M276" s="111"/>
      <c r="N276" s="111"/>
      <c r="O276" s="111"/>
      <c r="P276" s="111"/>
    </row>
    <row r="277" spans="1:16" s="170" customFormat="1" x14ac:dyDescent="0.3">
      <c r="C277" s="118"/>
      <c r="D277" s="257" t="s">
        <v>515</v>
      </c>
      <c r="E277" s="254"/>
      <c r="F277" s="255"/>
      <c r="G277" s="256"/>
      <c r="H277" s="256"/>
      <c r="I277" s="256"/>
      <c r="J277" s="229"/>
      <c r="K277" s="231"/>
      <c r="L277" s="231"/>
      <c r="M277" s="113"/>
      <c r="N277" s="113"/>
      <c r="O277" s="113"/>
      <c r="P277" s="113"/>
    </row>
    <row r="278" spans="1:16" s="170" customFormat="1" x14ac:dyDescent="0.3">
      <c r="C278" s="118"/>
      <c r="D278" s="253" t="s">
        <v>127</v>
      </c>
      <c r="E278" s="254"/>
      <c r="F278" s="255"/>
      <c r="G278" s="256"/>
      <c r="H278" s="256"/>
      <c r="I278" s="256"/>
      <c r="J278" s="229"/>
      <c r="K278" s="231"/>
      <c r="L278" s="231"/>
      <c r="M278" s="113"/>
      <c r="N278" s="113"/>
      <c r="O278" s="113"/>
      <c r="P278" s="113"/>
    </row>
    <row r="279" spans="1:16" s="170" customFormat="1" x14ac:dyDescent="0.3">
      <c r="C279" s="118"/>
      <c r="D279" s="257" t="s">
        <v>266</v>
      </c>
      <c r="E279" s="254"/>
      <c r="F279" s="255"/>
      <c r="G279" s="256"/>
      <c r="H279" s="256"/>
      <c r="I279" s="256"/>
      <c r="J279" s="229"/>
      <c r="K279" s="231"/>
      <c r="L279" s="231"/>
      <c r="M279" s="113"/>
      <c r="N279" s="113"/>
      <c r="O279" s="113"/>
      <c r="P279" s="113"/>
    </row>
    <row r="280" spans="1:16" s="170" customFormat="1" x14ac:dyDescent="0.3">
      <c r="C280" s="114"/>
      <c r="D280" s="233" t="s">
        <v>137</v>
      </c>
      <c r="E280" s="234" t="s">
        <v>0</v>
      </c>
      <c r="F280" s="235">
        <v>2</v>
      </c>
      <c r="G280" s="236">
        <v>0.15</v>
      </c>
      <c r="H280" s="236">
        <v>2.4500000000000002</v>
      </c>
      <c r="I280" s="236">
        <v>0.9</v>
      </c>
      <c r="J280" s="235">
        <v>1</v>
      </c>
      <c r="K280" s="237"/>
      <c r="L280" s="237">
        <f>((H280+I280)*2)*F280*G280*J280</f>
        <v>2.0099999999999998</v>
      </c>
      <c r="M280" s="111"/>
      <c r="N280" s="111"/>
      <c r="O280" s="111"/>
      <c r="P280" s="111"/>
    </row>
    <row r="281" spans="1:16" s="170" customFormat="1" x14ac:dyDescent="0.3">
      <c r="C281" s="114"/>
      <c r="D281" s="233" t="s">
        <v>267</v>
      </c>
      <c r="E281" s="234" t="s">
        <v>0</v>
      </c>
      <c r="F281" s="235">
        <v>2</v>
      </c>
      <c r="G281" s="236">
        <v>0.15</v>
      </c>
      <c r="H281" s="236">
        <v>3.65</v>
      </c>
      <c r="I281" s="236">
        <v>0.9</v>
      </c>
      <c r="J281" s="235">
        <v>1</v>
      </c>
      <c r="K281" s="237"/>
      <c r="L281" s="237">
        <f>((H281+I281)*2)*F281*G281*J281</f>
        <v>2.73</v>
      </c>
      <c r="M281" s="111"/>
      <c r="N281" s="111"/>
      <c r="O281" s="111"/>
      <c r="P281" s="111"/>
    </row>
    <row r="282" spans="1:16" s="170" customFormat="1" x14ac:dyDescent="0.3">
      <c r="C282" s="118"/>
      <c r="D282" s="257" t="s">
        <v>129</v>
      </c>
      <c r="E282" s="254"/>
      <c r="F282" s="255"/>
      <c r="G282" s="256"/>
      <c r="H282" s="256"/>
      <c r="I282" s="256"/>
      <c r="J282" s="229"/>
      <c r="K282" s="231"/>
      <c r="L282" s="231"/>
      <c r="M282" s="113"/>
      <c r="N282" s="113"/>
      <c r="O282" s="113"/>
      <c r="P282" s="113"/>
    </row>
    <row r="283" spans="1:16" s="170" customFormat="1" x14ac:dyDescent="0.3">
      <c r="C283" s="114"/>
      <c r="D283" s="233" t="s">
        <v>135</v>
      </c>
      <c r="E283" s="234" t="s">
        <v>0</v>
      </c>
      <c r="F283" s="235">
        <v>2</v>
      </c>
      <c r="G283" s="236">
        <v>0.15</v>
      </c>
      <c r="H283" s="236">
        <v>1.2</v>
      </c>
      <c r="I283" s="236">
        <v>3</v>
      </c>
      <c r="J283" s="235">
        <v>1</v>
      </c>
      <c r="K283" s="237"/>
      <c r="L283" s="237">
        <f>((H283+I283)*2)*F283*G283*J283</f>
        <v>2.52</v>
      </c>
      <c r="M283" s="111"/>
      <c r="N283" s="111"/>
      <c r="O283" s="111"/>
      <c r="P283" s="111"/>
    </row>
    <row r="284" spans="1:16" s="170" customFormat="1" x14ac:dyDescent="0.3">
      <c r="C284" s="118"/>
      <c r="D284" s="253" t="s">
        <v>68</v>
      </c>
      <c r="E284" s="254"/>
      <c r="F284" s="255"/>
      <c r="G284" s="256"/>
      <c r="H284" s="256"/>
      <c r="I284" s="256"/>
      <c r="J284" s="229"/>
      <c r="K284" s="231"/>
      <c r="L284" s="231"/>
      <c r="M284" s="113"/>
      <c r="N284" s="113"/>
      <c r="O284" s="113"/>
      <c r="P284" s="113"/>
    </row>
    <row r="285" spans="1:16" s="170" customFormat="1" x14ac:dyDescent="0.3">
      <c r="C285" s="118"/>
      <c r="D285" s="257" t="s">
        <v>266</v>
      </c>
      <c r="E285" s="254"/>
      <c r="F285" s="255"/>
      <c r="G285" s="256"/>
      <c r="H285" s="256"/>
      <c r="I285" s="256"/>
      <c r="J285" s="229"/>
      <c r="K285" s="231"/>
      <c r="L285" s="231"/>
      <c r="M285" s="113"/>
      <c r="N285" s="113"/>
      <c r="O285" s="113"/>
      <c r="P285" s="113"/>
    </row>
    <row r="286" spans="1:16" s="170" customFormat="1" x14ac:dyDescent="0.3">
      <c r="C286" s="114"/>
      <c r="D286" s="233" t="s">
        <v>137</v>
      </c>
      <c r="E286" s="234" t="s">
        <v>0</v>
      </c>
      <c r="F286" s="235">
        <v>2</v>
      </c>
      <c r="G286" s="236">
        <v>0.15</v>
      </c>
      <c r="H286" s="236">
        <v>2.4500000000000002</v>
      </c>
      <c r="I286" s="236">
        <v>0.9</v>
      </c>
      <c r="J286" s="235">
        <v>1</v>
      </c>
      <c r="K286" s="237"/>
      <c r="L286" s="237">
        <f>((H286+I286)*2)*F286*G286*J286</f>
        <v>2.0099999999999998</v>
      </c>
      <c r="M286" s="111"/>
      <c r="N286" s="111"/>
      <c r="O286" s="111"/>
      <c r="P286" s="111"/>
    </row>
    <row r="287" spans="1:16" s="170" customFormat="1" x14ac:dyDescent="0.3">
      <c r="C287" s="114"/>
      <c r="D287" s="233" t="s">
        <v>267</v>
      </c>
      <c r="E287" s="234" t="s">
        <v>0</v>
      </c>
      <c r="F287" s="235">
        <v>2</v>
      </c>
      <c r="G287" s="236">
        <v>0.15</v>
      </c>
      <c r="H287" s="236">
        <v>3.65</v>
      </c>
      <c r="I287" s="236">
        <v>0.9</v>
      </c>
      <c r="J287" s="235">
        <v>1</v>
      </c>
      <c r="K287" s="237"/>
      <c r="L287" s="237">
        <f>((H287+I287)*2)*F287*G287*J287</f>
        <v>2.73</v>
      </c>
      <c r="M287" s="111"/>
      <c r="N287" s="111"/>
      <c r="O287" s="111"/>
      <c r="P287" s="111"/>
    </row>
    <row r="288" spans="1:16" s="170" customFormat="1" x14ac:dyDescent="0.3">
      <c r="C288" s="118"/>
      <c r="D288" s="257" t="s">
        <v>129</v>
      </c>
      <c r="E288" s="254"/>
      <c r="F288" s="255"/>
      <c r="G288" s="256"/>
      <c r="H288" s="256"/>
      <c r="I288" s="256"/>
      <c r="J288" s="229"/>
      <c r="K288" s="231"/>
      <c r="L288" s="231"/>
      <c r="M288" s="113"/>
      <c r="N288" s="113"/>
      <c r="O288" s="113"/>
      <c r="P288" s="113"/>
    </row>
    <row r="289" spans="3:16" s="170" customFormat="1" x14ac:dyDescent="0.3">
      <c r="C289" s="114"/>
      <c r="D289" s="233" t="s">
        <v>135</v>
      </c>
      <c r="E289" s="234" t="s">
        <v>0</v>
      </c>
      <c r="F289" s="235">
        <v>2</v>
      </c>
      <c r="G289" s="236">
        <v>0.15</v>
      </c>
      <c r="H289" s="236">
        <v>1.2</v>
      </c>
      <c r="I289" s="236">
        <v>3</v>
      </c>
      <c r="J289" s="235">
        <v>1</v>
      </c>
      <c r="K289" s="237"/>
      <c r="L289" s="237">
        <f>((H289+I289)*2)*F289*G289*J289</f>
        <v>2.52</v>
      </c>
      <c r="M289" s="111"/>
      <c r="N289" s="111"/>
      <c r="O289" s="111"/>
      <c r="P289" s="111"/>
    </row>
    <row r="290" spans="3:16" s="170" customFormat="1" x14ac:dyDescent="0.3">
      <c r="C290" s="118"/>
      <c r="D290" s="253" t="s">
        <v>106</v>
      </c>
      <c r="E290" s="254"/>
      <c r="F290" s="255"/>
      <c r="G290" s="256"/>
      <c r="H290" s="256"/>
      <c r="I290" s="256"/>
      <c r="J290" s="229"/>
      <c r="K290" s="231"/>
      <c r="L290" s="231"/>
      <c r="M290" s="113"/>
      <c r="N290" s="113"/>
      <c r="O290" s="113"/>
      <c r="P290" s="113"/>
    </row>
    <row r="291" spans="3:16" s="170" customFormat="1" x14ac:dyDescent="0.3">
      <c r="C291" s="118"/>
      <c r="D291" s="257" t="s">
        <v>266</v>
      </c>
      <c r="E291" s="254"/>
      <c r="F291" s="255"/>
      <c r="G291" s="256"/>
      <c r="H291" s="256"/>
      <c r="I291" s="256"/>
      <c r="J291" s="229"/>
      <c r="K291" s="231"/>
      <c r="L291" s="231"/>
      <c r="M291" s="113"/>
      <c r="N291" s="113"/>
      <c r="O291" s="113"/>
      <c r="P291" s="113"/>
    </row>
    <row r="292" spans="3:16" s="170" customFormat="1" x14ac:dyDescent="0.3">
      <c r="C292" s="114"/>
      <c r="D292" s="233" t="s">
        <v>137</v>
      </c>
      <c r="E292" s="234" t="s">
        <v>0</v>
      </c>
      <c r="F292" s="235">
        <v>2</v>
      </c>
      <c r="G292" s="236">
        <v>0.15</v>
      </c>
      <c r="H292" s="236">
        <v>2.4500000000000002</v>
      </c>
      <c r="I292" s="236">
        <v>0.85</v>
      </c>
      <c r="J292" s="235">
        <v>1</v>
      </c>
      <c r="K292" s="237"/>
      <c r="L292" s="237">
        <f>((H292+I292)*2)*F292*G292*J292</f>
        <v>1.98</v>
      </c>
      <c r="M292" s="111"/>
      <c r="N292" s="111"/>
      <c r="O292" s="111"/>
      <c r="P292" s="111"/>
    </row>
    <row r="293" spans="3:16" s="170" customFormat="1" x14ac:dyDescent="0.3">
      <c r="C293" s="114"/>
      <c r="D293" s="233" t="s">
        <v>267</v>
      </c>
      <c r="E293" s="234" t="s">
        <v>0</v>
      </c>
      <c r="F293" s="235">
        <v>2</v>
      </c>
      <c r="G293" s="236">
        <v>0.15</v>
      </c>
      <c r="H293" s="236">
        <v>3.65</v>
      </c>
      <c r="I293" s="236">
        <v>0.85</v>
      </c>
      <c r="J293" s="235">
        <v>1</v>
      </c>
      <c r="K293" s="237"/>
      <c r="L293" s="237">
        <f>((H293+I293)*2)*F293*G293*J293</f>
        <v>2.6999999999999997</v>
      </c>
      <c r="M293" s="111"/>
      <c r="N293" s="111"/>
      <c r="O293" s="111"/>
      <c r="P293" s="111"/>
    </row>
    <row r="294" spans="3:16" s="170" customFormat="1" x14ac:dyDescent="0.3">
      <c r="C294" s="118"/>
      <c r="D294" s="257" t="s">
        <v>129</v>
      </c>
      <c r="E294" s="254"/>
      <c r="F294" s="255"/>
      <c r="G294" s="256"/>
      <c r="H294" s="256"/>
      <c r="I294" s="256"/>
      <c r="J294" s="229"/>
      <c r="K294" s="231"/>
      <c r="L294" s="231"/>
      <c r="M294" s="113"/>
      <c r="N294" s="113"/>
      <c r="O294" s="113"/>
      <c r="P294" s="113"/>
    </row>
    <row r="295" spans="3:16" x14ac:dyDescent="0.3">
      <c r="C295" s="114"/>
      <c r="D295" s="233" t="s">
        <v>135</v>
      </c>
      <c r="E295" s="234" t="s">
        <v>0</v>
      </c>
      <c r="F295" s="235">
        <v>2</v>
      </c>
      <c r="G295" s="236">
        <v>0.15</v>
      </c>
      <c r="H295" s="236">
        <v>1.2</v>
      </c>
      <c r="I295" s="236">
        <v>2.95</v>
      </c>
      <c r="J295" s="235">
        <v>1</v>
      </c>
      <c r="K295" s="237"/>
      <c r="L295" s="237">
        <f>((H295+I295)*2)*F295*G295*J295</f>
        <v>2.4900000000000002</v>
      </c>
      <c r="M295" s="111"/>
      <c r="N295" s="111"/>
      <c r="O295" s="111"/>
      <c r="P295" s="111"/>
    </row>
    <row r="296" spans="3:16" ht="14.4" x14ac:dyDescent="0.3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3:16" x14ac:dyDescent="0.3">
      <c r="C297" s="99" t="s">
        <v>1185</v>
      </c>
      <c r="D297" s="226" t="s">
        <v>159</v>
      </c>
      <c r="E297" s="101" t="s">
        <v>0</v>
      </c>
      <c r="F297" s="1"/>
      <c r="G297" s="2"/>
      <c r="H297" s="2"/>
      <c r="I297" s="2"/>
      <c r="J297" s="3"/>
      <c r="K297" s="103"/>
      <c r="L297" s="103"/>
      <c r="M297" s="103"/>
      <c r="N297" s="103"/>
      <c r="O297" s="103"/>
      <c r="P297" s="103">
        <f>SUM(L297:L319)</f>
        <v>533.79500000000007</v>
      </c>
    </row>
    <row r="298" spans="3:16" x14ac:dyDescent="0.3">
      <c r="C298" s="106"/>
      <c r="D298" s="227" t="s">
        <v>127</v>
      </c>
      <c r="E298" s="228"/>
      <c r="F298" s="229"/>
      <c r="G298" s="230"/>
      <c r="H298" s="230"/>
      <c r="I298" s="230"/>
      <c r="J298" s="229"/>
      <c r="K298" s="231"/>
      <c r="L298" s="231"/>
      <c r="M298" s="113"/>
      <c r="N298" s="113"/>
      <c r="O298" s="113"/>
      <c r="P298" s="113"/>
    </row>
    <row r="299" spans="3:16" x14ac:dyDescent="0.3">
      <c r="C299" s="114"/>
      <c r="D299" s="233" t="s">
        <v>516</v>
      </c>
      <c r="E299" s="234" t="s">
        <v>0</v>
      </c>
      <c r="F299" s="235">
        <v>2</v>
      </c>
      <c r="G299" s="236" t="s">
        <v>156</v>
      </c>
      <c r="H299" s="236">
        <v>27.84</v>
      </c>
      <c r="I299" s="236"/>
      <c r="J299" s="235">
        <v>1</v>
      </c>
      <c r="K299" s="237"/>
      <c r="L299" s="237">
        <f t="shared" ref="L299:L304" si="22">IF(F299="","",PRODUCT(F299:J299))</f>
        <v>55.68</v>
      </c>
      <c r="M299" s="111"/>
      <c r="N299" s="111"/>
      <c r="O299" s="111"/>
      <c r="P299" s="111"/>
    </row>
    <row r="300" spans="3:16" x14ac:dyDescent="0.3">
      <c r="C300" s="114"/>
      <c r="D300" s="233"/>
      <c r="E300" s="234" t="s">
        <v>0</v>
      </c>
      <c r="F300" s="235">
        <v>2</v>
      </c>
      <c r="G300" s="236" t="s">
        <v>156</v>
      </c>
      <c r="H300" s="236">
        <v>27.68</v>
      </c>
      <c r="I300" s="236"/>
      <c r="J300" s="235">
        <v>1</v>
      </c>
      <c r="K300" s="237"/>
      <c r="L300" s="237">
        <f t="shared" si="22"/>
        <v>55.36</v>
      </c>
      <c r="M300" s="111"/>
      <c r="N300" s="111"/>
      <c r="O300" s="111"/>
      <c r="P300" s="111"/>
    </row>
    <row r="301" spans="3:16" x14ac:dyDescent="0.3">
      <c r="C301" s="114"/>
      <c r="D301" s="258"/>
      <c r="E301" s="239" t="s">
        <v>0</v>
      </c>
      <c r="F301" s="242">
        <v>12</v>
      </c>
      <c r="G301" s="236" t="s">
        <v>156</v>
      </c>
      <c r="H301" s="236">
        <v>0.62</v>
      </c>
      <c r="I301" s="236"/>
      <c r="J301" s="242">
        <v>1</v>
      </c>
      <c r="K301" s="237"/>
      <c r="L301" s="237">
        <f t="shared" si="22"/>
        <v>7.4399999999999995</v>
      </c>
      <c r="M301" s="111"/>
      <c r="N301" s="111"/>
      <c r="O301" s="111"/>
      <c r="P301" s="111"/>
    </row>
    <row r="302" spans="3:16" x14ac:dyDescent="0.3">
      <c r="C302" s="114"/>
      <c r="D302" s="233" t="s">
        <v>517</v>
      </c>
      <c r="E302" s="234" t="s">
        <v>0</v>
      </c>
      <c r="F302" s="235">
        <v>2</v>
      </c>
      <c r="G302" s="236">
        <v>1.1499999999999999</v>
      </c>
      <c r="H302" s="236">
        <v>0.55000000000000004</v>
      </c>
      <c r="I302" s="236"/>
      <c r="J302" s="235">
        <v>1</v>
      </c>
      <c r="K302" s="237"/>
      <c r="L302" s="237">
        <f t="shared" si="22"/>
        <v>1.2649999999999999</v>
      </c>
      <c r="M302" s="111"/>
      <c r="N302" s="111"/>
      <c r="O302" s="111"/>
      <c r="P302" s="111"/>
    </row>
    <row r="303" spans="3:16" x14ac:dyDescent="0.3">
      <c r="C303" s="114"/>
      <c r="D303" s="233" t="s">
        <v>518</v>
      </c>
      <c r="E303" s="234" t="s">
        <v>0</v>
      </c>
      <c r="F303" s="235">
        <v>2</v>
      </c>
      <c r="G303" s="236" t="s">
        <v>156</v>
      </c>
      <c r="H303" s="236">
        <v>13.35</v>
      </c>
      <c r="I303" s="236"/>
      <c r="J303" s="235">
        <v>1</v>
      </c>
      <c r="K303" s="237"/>
      <c r="L303" s="237">
        <f t="shared" si="22"/>
        <v>26.7</v>
      </c>
      <c r="M303" s="111"/>
      <c r="N303" s="111"/>
      <c r="O303" s="111"/>
      <c r="P303" s="111"/>
    </row>
    <row r="304" spans="3:16" x14ac:dyDescent="0.3">
      <c r="C304" s="114"/>
      <c r="D304" s="233"/>
      <c r="E304" s="234" t="s">
        <v>0</v>
      </c>
      <c r="F304" s="235">
        <v>2</v>
      </c>
      <c r="G304" s="236" t="s">
        <v>156</v>
      </c>
      <c r="H304" s="236">
        <v>13.28</v>
      </c>
      <c r="I304" s="236"/>
      <c r="J304" s="235">
        <v>1</v>
      </c>
      <c r="K304" s="237"/>
      <c r="L304" s="237">
        <f t="shared" si="22"/>
        <v>26.56</v>
      </c>
      <c r="M304" s="111"/>
      <c r="N304" s="111"/>
      <c r="O304" s="111"/>
      <c r="P304" s="111"/>
    </row>
    <row r="305" spans="3:16" x14ac:dyDescent="0.3">
      <c r="C305" s="106"/>
      <c r="D305" s="227" t="s">
        <v>68</v>
      </c>
      <c r="E305" s="228"/>
      <c r="F305" s="229"/>
      <c r="G305" s="230"/>
      <c r="H305" s="230"/>
      <c r="I305" s="230"/>
      <c r="J305" s="229"/>
      <c r="K305" s="231"/>
      <c r="L305" s="231"/>
      <c r="M305" s="113"/>
      <c r="N305" s="113"/>
      <c r="O305" s="113"/>
      <c r="P305" s="113"/>
    </row>
    <row r="306" spans="3:16" x14ac:dyDescent="0.3">
      <c r="C306" s="114"/>
      <c r="D306" s="233" t="s">
        <v>516</v>
      </c>
      <c r="E306" s="234" t="s">
        <v>0</v>
      </c>
      <c r="F306" s="235">
        <v>2</v>
      </c>
      <c r="G306" s="236" t="s">
        <v>156</v>
      </c>
      <c r="H306" s="236">
        <v>27.84</v>
      </c>
      <c r="I306" s="236"/>
      <c r="J306" s="235">
        <v>1</v>
      </c>
      <c r="K306" s="237"/>
      <c r="L306" s="237">
        <f t="shared" ref="L306:L311" si="23">IF(F306="","",PRODUCT(F306:J306))</f>
        <v>55.68</v>
      </c>
      <c r="M306" s="111"/>
      <c r="N306" s="111"/>
      <c r="O306" s="111"/>
      <c r="P306" s="111"/>
    </row>
    <row r="307" spans="3:16" x14ac:dyDescent="0.3">
      <c r="C307" s="114"/>
      <c r="D307" s="233"/>
      <c r="E307" s="234" t="s">
        <v>0</v>
      </c>
      <c r="F307" s="235">
        <v>2</v>
      </c>
      <c r="G307" s="236" t="s">
        <v>156</v>
      </c>
      <c r="H307" s="236">
        <v>27.68</v>
      </c>
      <c r="I307" s="236"/>
      <c r="J307" s="235">
        <v>1</v>
      </c>
      <c r="K307" s="237"/>
      <c r="L307" s="237">
        <f t="shared" si="23"/>
        <v>55.36</v>
      </c>
      <c r="M307" s="111"/>
      <c r="N307" s="111"/>
      <c r="O307" s="111"/>
      <c r="P307" s="111"/>
    </row>
    <row r="308" spans="3:16" x14ac:dyDescent="0.3">
      <c r="C308" s="114"/>
      <c r="D308" s="258"/>
      <c r="E308" s="239" t="s">
        <v>0</v>
      </c>
      <c r="F308" s="242">
        <v>12</v>
      </c>
      <c r="G308" s="236" t="s">
        <v>156</v>
      </c>
      <c r="H308" s="236">
        <v>0.62</v>
      </c>
      <c r="I308" s="236"/>
      <c r="J308" s="242">
        <v>1</v>
      </c>
      <c r="K308" s="237"/>
      <c r="L308" s="237">
        <f t="shared" si="23"/>
        <v>7.4399999999999995</v>
      </c>
      <c r="M308" s="111"/>
      <c r="N308" s="111"/>
      <c r="O308" s="111"/>
      <c r="P308" s="111"/>
    </row>
    <row r="309" spans="3:16" x14ac:dyDescent="0.3">
      <c r="C309" s="114"/>
      <c r="D309" s="233" t="s">
        <v>517</v>
      </c>
      <c r="E309" s="234" t="s">
        <v>0</v>
      </c>
      <c r="F309" s="235">
        <v>2</v>
      </c>
      <c r="G309" s="236">
        <v>1.1499999999999999</v>
      </c>
      <c r="H309" s="236">
        <v>0.55000000000000004</v>
      </c>
      <c r="I309" s="236"/>
      <c r="J309" s="235">
        <v>1</v>
      </c>
      <c r="K309" s="237"/>
      <c r="L309" s="237">
        <f t="shared" si="23"/>
        <v>1.2649999999999999</v>
      </c>
      <c r="M309" s="111"/>
      <c r="N309" s="111"/>
      <c r="O309" s="111"/>
      <c r="P309" s="111"/>
    </row>
    <row r="310" spans="3:16" x14ac:dyDescent="0.3">
      <c r="C310" s="114"/>
      <c r="D310" s="233" t="s">
        <v>518</v>
      </c>
      <c r="E310" s="234" t="s">
        <v>0</v>
      </c>
      <c r="F310" s="235">
        <v>2</v>
      </c>
      <c r="G310" s="236" t="s">
        <v>156</v>
      </c>
      <c r="H310" s="236">
        <v>13.35</v>
      </c>
      <c r="I310" s="236"/>
      <c r="J310" s="235">
        <v>1</v>
      </c>
      <c r="K310" s="237"/>
      <c r="L310" s="237">
        <f t="shared" si="23"/>
        <v>26.7</v>
      </c>
      <c r="M310" s="111"/>
      <c r="N310" s="111"/>
      <c r="O310" s="111"/>
      <c r="P310" s="111"/>
    </row>
    <row r="311" spans="3:16" x14ac:dyDescent="0.3">
      <c r="C311" s="114"/>
      <c r="D311" s="233"/>
      <c r="E311" s="234" t="s">
        <v>0</v>
      </c>
      <c r="F311" s="235">
        <v>2</v>
      </c>
      <c r="G311" s="236" t="s">
        <v>156</v>
      </c>
      <c r="H311" s="236">
        <v>13.28</v>
      </c>
      <c r="I311" s="236"/>
      <c r="J311" s="235">
        <v>1</v>
      </c>
      <c r="K311" s="237"/>
      <c r="L311" s="237">
        <f t="shared" si="23"/>
        <v>26.56</v>
      </c>
      <c r="M311" s="111"/>
      <c r="N311" s="111"/>
      <c r="O311" s="111"/>
      <c r="P311" s="111"/>
    </row>
    <row r="312" spans="3:16" x14ac:dyDescent="0.3">
      <c r="C312" s="106"/>
      <c r="D312" s="227" t="s">
        <v>106</v>
      </c>
      <c r="E312" s="228"/>
      <c r="F312" s="229"/>
      <c r="G312" s="230"/>
      <c r="H312" s="230"/>
      <c r="I312" s="230"/>
      <c r="J312" s="229"/>
      <c r="K312" s="231"/>
      <c r="L312" s="231"/>
      <c r="M312" s="113"/>
      <c r="N312" s="113"/>
      <c r="O312" s="113"/>
      <c r="P312" s="113"/>
    </row>
    <row r="313" spans="3:16" x14ac:dyDescent="0.3">
      <c r="C313" s="114"/>
      <c r="D313" s="233" t="s">
        <v>516</v>
      </c>
      <c r="E313" s="234" t="s">
        <v>0</v>
      </c>
      <c r="F313" s="235">
        <v>8</v>
      </c>
      <c r="G313" s="236">
        <v>2.25</v>
      </c>
      <c r="H313" s="236">
        <v>6.4</v>
      </c>
      <c r="I313" s="236"/>
      <c r="J313" s="235">
        <v>1</v>
      </c>
      <c r="K313" s="237"/>
      <c r="L313" s="237">
        <f t="shared" ref="L313:L318" si="24">IF(F313="","",PRODUCT(F313:J313))</f>
        <v>115.2</v>
      </c>
      <c r="M313" s="111"/>
      <c r="N313" s="111"/>
      <c r="O313" s="111"/>
      <c r="P313" s="111"/>
    </row>
    <row r="314" spans="3:16" x14ac:dyDescent="0.3">
      <c r="C314" s="114"/>
      <c r="D314" s="233" t="s">
        <v>517</v>
      </c>
      <c r="E314" s="234" t="s">
        <v>0</v>
      </c>
      <c r="F314" s="235">
        <v>2</v>
      </c>
      <c r="G314" s="236">
        <v>1.1499999999999999</v>
      </c>
      <c r="H314" s="236">
        <v>0.55000000000000004</v>
      </c>
      <c r="I314" s="236"/>
      <c r="J314" s="235">
        <v>1</v>
      </c>
      <c r="K314" s="237"/>
      <c r="L314" s="237">
        <f t="shared" si="24"/>
        <v>1.2649999999999999</v>
      </c>
      <c r="M314" s="111"/>
      <c r="N314" s="111"/>
      <c r="O314" s="111"/>
      <c r="P314" s="111"/>
    </row>
    <row r="315" spans="3:16" x14ac:dyDescent="0.3">
      <c r="C315" s="114"/>
      <c r="D315" s="233" t="s">
        <v>518</v>
      </c>
      <c r="E315" s="234" t="s">
        <v>0</v>
      </c>
      <c r="F315" s="235">
        <v>8</v>
      </c>
      <c r="G315" s="236">
        <v>2.4</v>
      </c>
      <c r="H315" s="236">
        <v>2.95</v>
      </c>
      <c r="I315" s="236"/>
      <c r="J315" s="235">
        <v>1</v>
      </c>
      <c r="K315" s="237"/>
      <c r="L315" s="237">
        <f t="shared" si="24"/>
        <v>56.64</v>
      </c>
      <c r="M315" s="111"/>
      <c r="N315" s="111"/>
      <c r="O315" s="111"/>
      <c r="P315" s="111"/>
    </row>
    <row r="316" spans="3:16" x14ac:dyDescent="0.3">
      <c r="C316" s="114"/>
      <c r="D316" s="258" t="s">
        <v>284</v>
      </c>
      <c r="E316" s="239" t="s">
        <v>0</v>
      </c>
      <c r="F316" s="242">
        <v>12</v>
      </c>
      <c r="G316" s="236" t="s">
        <v>156</v>
      </c>
      <c r="H316" s="236">
        <v>0.06</v>
      </c>
      <c r="I316" s="236"/>
      <c r="J316" s="235">
        <v>1</v>
      </c>
      <c r="K316" s="237"/>
      <c r="L316" s="237">
        <f t="shared" si="24"/>
        <v>0.72</v>
      </c>
      <c r="M316" s="111"/>
      <c r="N316" s="111"/>
      <c r="O316" s="111"/>
      <c r="P316" s="111"/>
    </row>
    <row r="317" spans="3:16" x14ac:dyDescent="0.3">
      <c r="C317" s="114"/>
      <c r="D317" s="258"/>
      <c r="E317" s="239" t="s">
        <v>0</v>
      </c>
      <c r="F317" s="242">
        <v>2</v>
      </c>
      <c r="G317" s="236" t="s">
        <v>156</v>
      </c>
      <c r="H317" s="236">
        <v>3.5</v>
      </c>
      <c r="I317" s="236"/>
      <c r="J317" s="235">
        <v>1</v>
      </c>
      <c r="K317" s="237"/>
      <c r="L317" s="237">
        <f t="shared" si="24"/>
        <v>7</v>
      </c>
      <c r="M317" s="111"/>
      <c r="N317" s="111"/>
      <c r="O317" s="111"/>
      <c r="P317" s="111"/>
    </row>
    <row r="318" spans="3:16" x14ac:dyDescent="0.3">
      <c r="C318" s="114"/>
      <c r="D318" s="258"/>
      <c r="E318" s="239" t="s">
        <v>0</v>
      </c>
      <c r="F318" s="242">
        <v>2</v>
      </c>
      <c r="G318" s="236" t="s">
        <v>156</v>
      </c>
      <c r="H318" s="236">
        <v>3.48</v>
      </c>
      <c r="I318" s="236"/>
      <c r="J318" s="235">
        <v>1</v>
      </c>
      <c r="K318" s="237"/>
      <c r="L318" s="237">
        <f t="shared" si="24"/>
        <v>6.96</v>
      </c>
      <c r="M318" s="111"/>
      <c r="N318" s="111"/>
      <c r="O318" s="111"/>
      <c r="P318" s="111"/>
    </row>
    <row r="319" spans="3:16" ht="14.4" x14ac:dyDescent="0.3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rowBreaks count="2" manualBreakCount="2">
    <brk id="97" max="15" man="1"/>
    <brk id="245" max="15" man="1"/>
  </rowBreaks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410F-2890-4335-8F4F-4E0E9C1C7498}">
  <dimension ref="A1:W294"/>
  <sheetViews>
    <sheetView view="pageBreakPreview" topLeftCell="C208" zoomScale="130" zoomScaleNormal="100" zoomScaleSheetLayoutView="130" workbookViewId="0">
      <selection activeCell="C168" sqref="C168"/>
    </sheetView>
  </sheetViews>
  <sheetFormatPr baseColWidth="10" defaultColWidth="11.44140625" defaultRowHeight="10.199999999999999" x14ac:dyDescent="0.3"/>
  <cols>
    <col min="1" max="1" width="3.88671875" style="8" hidden="1" customWidth="1"/>
    <col min="2" max="2" width="1.44140625" style="8" customWidth="1"/>
    <col min="3" max="3" width="13.109375" style="8" customWidth="1"/>
    <col min="4" max="4" width="47.33203125" style="9" customWidth="1"/>
    <col min="5" max="5" width="3.33203125" style="10" bestFit="1" customWidth="1"/>
    <col min="6" max="6" width="3.88671875" style="10" customWidth="1"/>
    <col min="7" max="7" width="6.5546875" style="11" customWidth="1"/>
    <col min="8" max="9" width="5.5546875" style="11" customWidth="1"/>
    <col min="10" max="10" width="3.88671875" style="12" customWidth="1"/>
    <col min="11" max="12" width="6.5546875" style="13" customWidth="1"/>
    <col min="13" max="14" width="6.5546875" style="11" customWidth="1"/>
    <col min="15" max="15" width="6.5546875" style="8" customWidth="1"/>
    <col min="16" max="16" width="7.88671875" style="97" bestFit="1" customWidth="1"/>
    <col min="17" max="17" width="0.88671875" style="8" customWidth="1"/>
    <col min="18" max="18" width="3.109375" style="8" customWidth="1"/>
    <col min="19" max="21" width="5" style="8" customWidth="1"/>
    <col min="22" max="22" width="3.88671875" style="8" bestFit="1" customWidth="1"/>
    <col min="23" max="23" width="5" style="8" customWidth="1"/>
    <col min="24" max="16384" width="11.44140625" style="8"/>
  </cols>
  <sheetData>
    <row r="1" spans="1:23" x14ac:dyDescent="0.3">
      <c r="B1" s="8">
        <v>1</v>
      </c>
      <c r="P1" s="14"/>
      <c r="S1" s="15"/>
      <c r="T1" s="16"/>
      <c r="U1" s="16"/>
      <c r="V1" s="16"/>
      <c r="W1" s="8">
        <f>SUM(V1:V1)</f>
        <v>0</v>
      </c>
    </row>
    <row r="2" spans="1:23" s="17" customFormat="1" ht="6" thickBot="1" x14ac:dyDescent="0.35">
      <c r="D2" s="18"/>
      <c r="E2" s="19"/>
      <c r="F2" s="19"/>
      <c r="G2" s="20"/>
      <c r="H2" s="20"/>
      <c r="I2" s="20"/>
      <c r="J2" s="21"/>
      <c r="K2" s="22"/>
      <c r="L2" s="22"/>
      <c r="M2" s="20"/>
      <c r="N2" s="20"/>
      <c r="P2" s="23"/>
      <c r="S2" s="24"/>
      <c r="T2" s="25"/>
      <c r="U2" s="25"/>
      <c r="V2" s="25"/>
    </row>
    <row r="3" spans="1:23" ht="23.25" customHeight="1" thickBot="1" x14ac:dyDescent="0.35">
      <c r="C3" s="417" t="s">
        <v>1123</v>
      </c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9"/>
      <c r="S3" s="15"/>
      <c r="T3" s="16"/>
      <c r="U3" s="16"/>
      <c r="V3" s="16"/>
    </row>
    <row r="4" spans="1:23" s="17" customFormat="1" ht="6" thickBot="1" x14ac:dyDescent="0.35">
      <c r="C4" s="23"/>
      <c r="D4" s="26"/>
      <c r="E4" s="19"/>
      <c r="F4" s="19"/>
      <c r="G4" s="27"/>
      <c r="H4" s="27"/>
      <c r="I4" s="27"/>
      <c r="J4" s="19"/>
      <c r="K4" s="28"/>
      <c r="L4" s="28"/>
      <c r="M4" s="27"/>
      <c r="N4" s="27"/>
      <c r="O4" s="19"/>
      <c r="P4" s="29"/>
      <c r="S4" s="24"/>
      <c r="T4" s="25"/>
      <c r="U4" s="25"/>
      <c r="V4" s="25"/>
    </row>
    <row r="5" spans="1:23" s="17" customFormat="1" ht="5.4" x14ac:dyDescent="0.3">
      <c r="C5" s="30"/>
      <c r="D5" s="31"/>
      <c r="E5" s="32"/>
      <c r="F5" s="32"/>
      <c r="G5" s="33"/>
      <c r="H5" s="33"/>
      <c r="I5" s="33"/>
      <c r="J5" s="34"/>
      <c r="K5" s="35"/>
      <c r="L5" s="35"/>
      <c r="M5" s="33"/>
      <c r="N5" s="33"/>
      <c r="O5" s="36"/>
      <c r="P5" s="37"/>
      <c r="S5" s="24"/>
      <c r="T5" s="25"/>
      <c r="U5" s="25"/>
      <c r="V5" s="25"/>
    </row>
    <row r="6" spans="1:23" ht="12.75" customHeight="1" x14ac:dyDescent="0.3">
      <c r="C6" s="38" t="s">
        <v>2</v>
      </c>
      <c r="D6" s="420" t="s">
        <v>3</v>
      </c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1"/>
      <c r="S6" s="15"/>
      <c r="T6" s="16"/>
      <c r="U6" s="16"/>
      <c r="V6" s="16"/>
    </row>
    <row r="7" spans="1:23" ht="14.25" customHeight="1" x14ac:dyDescent="0.3">
      <c r="C7" s="38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1"/>
    </row>
    <row r="8" spans="1:23" x14ac:dyDescent="0.3">
      <c r="C8" s="38" t="s">
        <v>4</v>
      </c>
      <c r="D8" s="39" t="s">
        <v>5</v>
      </c>
      <c r="E8" s="40"/>
      <c r="F8" s="40"/>
      <c r="G8" s="41"/>
      <c r="H8" s="41"/>
      <c r="I8" s="42"/>
      <c r="J8" s="40"/>
      <c r="K8" s="43"/>
      <c r="L8" s="41" t="s">
        <v>6</v>
      </c>
      <c r="M8" s="44" t="s">
        <v>7</v>
      </c>
      <c r="N8" s="42"/>
      <c r="O8" s="39"/>
      <c r="P8" s="45"/>
    </row>
    <row r="9" spans="1:23" x14ac:dyDescent="0.3">
      <c r="C9" s="38" t="s">
        <v>8</v>
      </c>
      <c r="D9" s="46">
        <v>44608</v>
      </c>
      <c r="E9" s="47"/>
      <c r="F9" s="47"/>
      <c r="G9" s="41"/>
      <c r="H9" s="41"/>
      <c r="I9" s="48"/>
      <c r="J9" s="49"/>
      <c r="K9" s="48"/>
      <c r="L9" s="41" t="s">
        <v>9</v>
      </c>
      <c r="M9" s="44"/>
      <c r="N9" s="50"/>
      <c r="O9" s="51"/>
      <c r="P9" s="45"/>
    </row>
    <row r="10" spans="1:23" x14ac:dyDescent="0.3">
      <c r="C10" s="38" t="s">
        <v>10</v>
      </c>
      <c r="D10" s="52" t="s">
        <v>11</v>
      </c>
      <c r="E10" s="40"/>
      <c r="F10" s="40"/>
      <c r="G10" s="43"/>
      <c r="H10" s="43"/>
      <c r="I10" s="43"/>
      <c r="J10" s="40"/>
      <c r="K10" s="43"/>
      <c r="L10" s="50"/>
      <c r="M10" s="50"/>
      <c r="N10" s="50"/>
      <c r="O10" s="51"/>
      <c r="P10" s="45"/>
    </row>
    <row r="11" spans="1:23" x14ac:dyDescent="0.3">
      <c r="C11" s="38" t="s">
        <v>12</v>
      </c>
      <c r="D11" s="39" t="s">
        <v>1131</v>
      </c>
      <c r="E11" s="40"/>
      <c r="F11" s="40"/>
      <c r="G11" s="43"/>
      <c r="H11" s="43"/>
      <c r="I11" s="43"/>
      <c r="J11" s="40"/>
      <c r="K11" s="43"/>
      <c r="L11" s="50"/>
      <c r="M11" s="50"/>
      <c r="N11" s="53"/>
      <c r="O11" s="47"/>
      <c r="P11" s="45"/>
    </row>
    <row r="12" spans="1:23" s="17" customFormat="1" ht="6" thickBot="1" x14ac:dyDescent="0.35">
      <c r="C12" s="54"/>
      <c r="D12" s="55"/>
      <c r="E12" s="56"/>
      <c r="F12" s="56"/>
      <c r="G12" s="57"/>
      <c r="H12" s="58"/>
      <c r="I12" s="59"/>
      <c r="J12" s="60"/>
      <c r="K12" s="61"/>
      <c r="L12" s="61"/>
      <c r="M12" s="59"/>
      <c r="N12" s="59"/>
      <c r="O12" s="62"/>
      <c r="P12" s="63"/>
    </row>
    <row r="13" spans="1:23" s="17" customFormat="1" ht="6" thickBot="1" x14ac:dyDescent="0.35">
      <c r="C13" s="23"/>
      <c r="D13" s="26"/>
      <c r="E13" s="19"/>
      <c r="F13" s="19"/>
      <c r="G13" s="20"/>
      <c r="H13" s="20"/>
      <c r="I13" s="20"/>
      <c r="J13" s="18"/>
      <c r="K13" s="64"/>
      <c r="L13" s="64"/>
      <c r="M13" s="20"/>
      <c r="N13" s="20"/>
      <c r="P13" s="29"/>
    </row>
    <row r="14" spans="1:23" ht="15" customHeight="1" x14ac:dyDescent="0.3">
      <c r="C14" s="422" t="s">
        <v>13</v>
      </c>
      <c r="D14" s="424" t="s">
        <v>14</v>
      </c>
      <c r="E14" s="426" t="s">
        <v>15</v>
      </c>
      <c r="F14" s="428" t="s">
        <v>16</v>
      </c>
      <c r="G14" s="430" t="s">
        <v>17</v>
      </c>
      <c r="H14" s="430"/>
      <c r="I14" s="430"/>
      <c r="J14" s="428" t="s">
        <v>18</v>
      </c>
      <c r="K14" s="424" t="s">
        <v>19</v>
      </c>
      <c r="L14" s="424"/>
      <c r="M14" s="424"/>
      <c r="N14" s="424"/>
      <c r="O14" s="424"/>
      <c r="P14" s="431" t="s">
        <v>20</v>
      </c>
    </row>
    <row r="15" spans="1:23" ht="14.25" customHeight="1" thickBot="1" x14ac:dyDescent="0.25">
      <c r="A15" s="65" t="s">
        <v>21</v>
      </c>
      <c r="C15" s="423"/>
      <c r="D15" s="425"/>
      <c r="E15" s="427"/>
      <c r="F15" s="429"/>
      <c r="G15" s="66" t="s">
        <v>22</v>
      </c>
      <c r="H15" s="66" t="s">
        <v>23</v>
      </c>
      <c r="I15" s="66" t="s">
        <v>24</v>
      </c>
      <c r="J15" s="429"/>
      <c r="K15" s="66" t="s">
        <v>25</v>
      </c>
      <c r="L15" s="66" t="s">
        <v>26</v>
      </c>
      <c r="M15" s="66" t="s">
        <v>27</v>
      </c>
      <c r="N15" s="66" t="s">
        <v>28</v>
      </c>
      <c r="O15" s="126" t="s">
        <v>29</v>
      </c>
      <c r="P15" s="432"/>
    </row>
    <row r="16" spans="1:23" s="17" customFormat="1" ht="10.199999999999999" customHeight="1" x14ac:dyDescent="0.3">
      <c r="C16" s="68"/>
      <c r="D16" s="69"/>
      <c r="E16" s="70"/>
      <c r="F16" s="70"/>
      <c r="G16" s="71"/>
      <c r="H16" s="71"/>
      <c r="I16" s="71"/>
      <c r="J16" s="72"/>
      <c r="K16" s="73"/>
      <c r="L16" s="73"/>
      <c r="M16" s="71"/>
      <c r="N16" s="71"/>
      <c r="O16" s="72"/>
      <c r="P16" s="74"/>
    </row>
    <row r="17" spans="1:16" s="83" customFormat="1" ht="13.2" x14ac:dyDescent="0.3">
      <c r="A17" s="75"/>
      <c r="B17" s="76"/>
      <c r="C17" s="77"/>
      <c r="D17" s="78" t="s">
        <v>285</v>
      </c>
      <c r="E17" s="79"/>
      <c r="F17" s="80"/>
      <c r="G17" s="81"/>
      <c r="H17" s="81"/>
      <c r="I17" s="81"/>
      <c r="J17" s="80"/>
      <c r="K17" s="82"/>
      <c r="L17" s="82"/>
      <c r="M17" s="82"/>
      <c r="N17" s="82"/>
      <c r="O17" s="82"/>
      <c r="P17" s="82"/>
    </row>
    <row r="18" spans="1:16" s="162" customFormat="1" x14ac:dyDescent="0.2">
      <c r="A18" s="153">
        <v>1</v>
      </c>
      <c r="B18" s="154"/>
      <c r="C18" s="155" t="s">
        <v>1186</v>
      </c>
      <c r="D18" s="156" t="s">
        <v>11</v>
      </c>
      <c r="E18" s="157"/>
      <c r="F18" s="158"/>
      <c r="G18" s="159"/>
      <c r="H18" s="159"/>
      <c r="I18" s="159"/>
      <c r="J18" s="160"/>
      <c r="K18" s="161"/>
      <c r="L18" s="161"/>
      <c r="M18" s="161"/>
      <c r="N18" s="161"/>
      <c r="O18" s="161"/>
      <c r="P18" s="161"/>
    </row>
    <row r="19" spans="1:16" s="169" customFormat="1" x14ac:dyDescent="0.2">
      <c r="A19" s="163">
        <v>2</v>
      </c>
      <c r="B19" s="164"/>
      <c r="C19" s="165" t="s">
        <v>1179</v>
      </c>
      <c r="D19" s="166" t="s">
        <v>89</v>
      </c>
      <c r="E19" s="167"/>
      <c r="F19" s="158"/>
      <c r="G19" s="159"/>
      <c r="H19" s="159"/>
      <c r="I19" s="159"/>
      <c r="J19" s="160"/>
      <c r="K19" s="168"/>
      <c r="L19" s="168"/>
      <c r="M19" s="168"/>
      <c r="N19" s="168"/>
      <c r="O19" s="168"/>
      <c r="P19" s="168"/>
    </row>
    <row r="20" spans="1:16" s="170" customFormat="1" x14ac:dyDescent="0.3">
      <c r="A20" s="170">
        <v>3</v>
      </c>
      <c r="C20" s="99" t="s">
        <v>1180</v>
      </c>
      <c r="D20" s="100" t="s">
        <v>522</v>
      </c>
      <c r="E20" s="173" t="s">
        <v>0</v>
      </c>
      <c r="F20" s="174"/>
      <c r="G20" s="159"/>
      <c r="H20" s="159"/>
      <c r="I20" s="159"/>
      <c r="J20" s="160"/>
      <c r="K20" s="175"/>
      <c r="L20" s="175"/>
      <c r="M20" s="175"/>
      <c r="N20" s="175"/>
      <c r="O20" s="175"/>
      <c r="P20" s="103">
        <f>SUM(L21:L69)</f>
        <v>67.515099999999947</v>
      </c>
    </row>
    <row r="21" spans="1:16" s="170" customFormat="1" x14ac:dyDescent="0.3">
      <c r="C21" s="181"/>
      <c r="D21" s="201" t="s">
        <v>123</v>
      </c>
      <c r="E21" s="193"/>
      <c r="F21" s="160"/>
      <c r="G21" s="191"/>
      <c r="H21" s="191"/>
      <c r="I21" s="191"/>
      <c r="J21" s="190"/>
      <c r="K21" s="180"/>
      <c r="L21" s="180"/>
      <c r="M21" s="180"/>
      <c r="N21" s="180"/>
      <c r="O21" s="180"/>
      <c r="P21" s="180"/>
    </row>
    <row r="22" spans="1:16" s="170" customFormat="1" x14ac:dyDescent="0.3">
      <c r="C22" s="176"/>
      <c r="D22" s="208" t="s">
        <v>287</v>
      </c>
      <c r="E22" s="209"/>
      <c r="F22" s="158"/>
      <c r="G22" s="159"/>
      <c r="H22" s="159"/>
      <c r="I22" s="159"/>
      <c r="J22" s="190"/>
      <c r="K22" s="180"/>
      <c r="L22" s="180"/>
      <c r="M22" s="180"/>
      <c r="N22" s="180"/>
      <c r="O22" s="180"/>
      <c r="P22" s="180"/>
    </row>
    <row r="23" spans="1:16" s="170" customFormat="1" x14ac:dyDescent="0.3">
      <c r="C23" s="183"/>
      <c r="D23" s="4" t="s">
        <v>288</v>
      </c>
      <c r="E23" s="124" t="s">
        <v>0</v>
      </c>
      <c r="F23" s="5">
        <v>1</v>
      </c>
      <c r="G23" s="6">
        <v>9.91</v>
      </c>
      <c r="H23" s="6"/>
      <c r="I23" s="6">
        <v>1.05</v>
      </c>
      <c r="J23" s="125">
        <v>1</v>
      </c>
      <c r="K23" s="7"/>
      <c r="L23" s="7">
        <f>IF(F23="","",PRODUCT(F23:J23))</f>
        <v>10.4055</v>
      </c>
      <c r="M23" s="188"/>
      <c r="N23" s="188"/>
      <c r="O23" s="188"/>
      <c r="P23" s="188"/>
    </row>
    <row r="24" spans="1:16" s="170" customFormat="1" x14ac:dyDescent="0.3">
      <c r="C24" s="183"/>
      <c r="D24" s="4" t="s">
        <v>289</v>
      </c>
      <c r="E24" s="124" t="s">
        <v>0</v>
      </c>
      <c r="F24" s="5">
        <v>1</v>
      </c>
      <c r="G24" s="6">
        <f>1.62/2</f>
        <v>0.81</v>
      </c>
      <c r="H24" s="6"/>
      <c r="I24" s="6">
        <v>1.05</v>
      </c>
      <c r="J24" s="125">
        <v>1</v>
      </c>
      <c r="K24" s="7"/>
      <c r="L24" s="7">
        <f>IF(F24="","",PRODUCT(F24:J24))</f>
        <v>0.85050000000000014</v>
      </c>
      <c r="M24" s="188"/>
      <c r="N24" s="188"/>
      <c r="O24" s="188"/>
      <c r="P24" s="188"/>
    </row>
    <row r="25" spans="1:16" s="170" customFormat="1" x14ac:dyDescent="0.3">
      <c r="C25" s="183"/>
      <c r="D25" s="4" t="s">
        <v>290</v>
      </c>
      <c r="E25" s="124" t="s">
        <v>0</v>
      </c>
      <c r="F25" s="5">
        <v>1</v>
      </c>
      <c r="G25" s="6">
        <v>12.9</v>
      </c>
      <c r="H25" s="6"/>
      <c r="I25" s="130">
        <f>2.47+1.05-0.7</f>
        <v>2.8200000000000003</v>
      </c>
      <c r="J25" s="125">
        <v>1</v>
      </c>
      <c r="K25" s="7"/>
      <c r="L25" s="7">
        <f>IF(F25="","",PRODUCT(F25:J25))</f>
        <v>36.378000000000007</v>
      </c>
      <c r="M25" s="188"/>
      <c r="N25" s="188"/>
      <c r="O25" s="188"/>
      <c r="P25" s="188"/>
    </row>
    <row r="26" spans="1:16" s="170" customFormat="1" x14ac:dyDescent="0.3">
      <c r="C26" s="183"/>
      <c r="D26" s="4" t="s">
        <v>291</v>
      </c>
      <c r="E26" s="124" t="s">
        <v>0</v>
      </c>
      <c r="F26" s="5">
        <v>1</v>
      </c>
      <c r="G26" s="6">
        <v>1.68</v>
      </c>
      <c r="H26" s="6"/>
      <c r="I26" s="130">
        <f>2.47+1.05/2</f>
        <v>2.9950000000000001</v>
      </c>
      <c r="J26" s="125">
        <v>1</v>
      </c>
      <c r="K26" s="7"/>
      <c r="L26" s="7">
        <f>IF(F26="","",PRODUCT(F26:J26))</f>
        <v>5.0316000000000001</v>
      </c>
      <c r="M26" s="188"/>
      <c r="N26" s="188"/>
      <c r="O26" s="188"/>
      <c r="P26" s="188"/>
    </row>
    <row r="27" spans="1:16" s="170" customFormat="1" x14ac:dyDescent="0.3">
      <c r="C27" s="181"/>
      <c r="D27" s="208" t="s">
        <v>292</v>
      </c>
      <c r="E27" s="193"/>
      <c r="F27" s="160"/>
      <c r="G27" s="191"/>
      <c r="H27" s="191"/>
      <c r="I27" s="191"/>
      <c r="J27" s="190"/>
      <c r="K27" s="180"/>
      <c r="L27" s="180"/>
      <c r="M27" s="180"/>
      <c r="N27" s="180"/>
      <c r="O27" s="180"/>
      <c r="P27" s="180"/>
    </row>
    <row r="28" spans="1:16" s="170" customFormat="1" x14ac:dyDescent="0.3">
      <c r="C28" s="183"/>
      <c r="D28" s="4" t="s">
        <v>293</v>
      </c>
      <c r="E28" s="124" t="s">
        <v>0</v>
      </c>
      <c r="F28" s="5">
        <v>1</v>
      </c>
      <c r="G28" s="6">
        <v>0.75</v>
      </c>
      <c r="H28" s="6"/>
      <c r="I28" s="6">
        <f>2.25</f>
        <v>2.25</v>
      </c>
      <c r="J28" s="125">
        <v>1</v>
      </c>
      <c r="K28" s="7"/>
      <c r="L28" s="7">
        <f t="shared" ref="L28:L36" si="0">IF(F28="","",PRODUCT(F28:J28))</f>
        <v>1.6875</v>
      </c>
      <c r="M28" s="188"/>
      <c r="N28" s="188"/>
      <c r="O28" s="188"/>
      <c r="P28" s="188"/>
    </row>
    <row r="29" spans="1:16" s="170" customFormat="1" x14ac:dyDescent="0.3">
      <c r="C29" s="183"/>
      <c r="D29" s="4" t="s">
        <v>294</v>
      </c>
      <c r="E29" s="124" t="s">
        <v>0</v>
      </c>
      <c r="F29" s="5">
        <v>1</v>
      </c>
      <c r="G29" s="6">
        <v>0.75</v>
      </c>
      <c r="H29" s="6"/>
      <c r="I29" s="6">
        <f>2.12</f>
        <v>2.12</v>
      </c>
      <c r="J29" s="125">
        <v>1</v>
      </c>
      <c r="K29" s="7"/>
      <c r="L29" s="7">
        <f t="shared" si="0"/>
        <v>1.59</v>
      </c>
      <c r="M29" s="188"/>
      <c r="N29" s="188"/>
      <c r="O29" s="188"/>
      <c r="P29" s="188"/>
    </row>
    <row r="30" spans="1:16" s="170" customFormat="1" x14ac:dyDescent="0.3">
      <c r="C30" s="183"/>
      <c r="D30" s="4" t="s">
        <v>295</v>
      </c>
      <c r="E30" s="124" t="s">
        <v>0</v>
      </c>
      <c r="F30" s="5">
        <v>1</v>
      </c>
      <c r="G30" s="6">
        <v>0.8</v>
      </c>
      <c r="H30" s="6"/>
      <c r="I30" s="6">
        <v>1.99</v>
      </c>
      <c r="J30" s="125">
        <v>1</v>
      </c>
      <c r="K30" s="7"/>
      <c r="L30" s="7">
        <f t="shared" si="0"/>
        <v>1.5920000000000001</v>
      </c>
      <c r="M30" s="188"/>
      <c r="N30" s="188"/>
      <c r="O30" s="188"/>
      <c r="P30" s="188"/>
    </row>
    <row r="31" spans="1:16" s="170" customFormat="1" x14ac:dyDescent="0.3">
      <c r="C31" s="183"/>
      <c r="D31" s="4" t="s">
        <v>296</v>
      </c>
      <c r="E31" s="124" t="s">
        <v>0</v>
      </c>
      <c r="F31" s="5">
        <v>1</v>
      </c>
      <c r="G31" s="6">
        <v>0.76</v>
      </c>
      <c r="H31" s="6"/>
      <c r="I31" s="6">
        <v>1.84</v>
      </c>
      <c r="J31" s="125">
        <v>1</v>
      </c>
      <c r="K31" s="7"/>
      <c r="L31" s="7">
        <f t="shared" si="0"/>
        <v>1.3984000000000001</v>
      </c>
      <c r="M31" s="188"/>
      <c r="N31" s="188"/>
      <c r="O31" s="188"/>
      <c r="P31" s="188"/>
    </row>
    <row r="32" spans="1:16" s="170" customFormat="1" x14ac:dyDescent="0.3">
      <c r="C32" s="183"/>
      <c r="D32" s="4" t="s">
        <v>297</v>
      </c>
      <c r="E32" s="124" t="s">
        <v>0</v>
      </c>
      <c r="F32" s="5">
        <v>1</v>
      </c>
      <c r="G32" s="6">
        <v>0.75</v>
      </c>
      <c r="H32" s="6"/>
      <c r="I32" s="6">
        <v>1.71</v>
      </c>
      <c r="J32" s="125">
        <v>1</v>
      </c>
      <c r="K32" s="7"/>
      <c r="L32" s="7">
        <f t="shared" si="0"/>
        <v>1.2825</v>
      </c>
      <c r="M32" s="188"/>
      <c r="N32" s="188"/>
      <c r="O32" s="188"/>
      <c r="P32" s="188"/>
    </row>
    <row r="33" spans="3:16" s="170" customFormat="1" x14ac:dyDescent="0.3">
      <c r="C33" s="183"/>
      <c r="D33" s="4" t="s">
        <v>298</v>
      </c>
      <c r="E33" s="124" t="s">
        <v>0</v>
      </c>
      <c r="F33" s="5">
        <v>1</v>
      </c>
      <c r="G33" s="6">
        <v>0.77</v>
      </c>
      <c r="H33" s="6"/>
      <c r="I33" s="6">
        <v>1.58</v>
      </c>
      <c r="J33" s="125">
        <v>1</v>
      </c>
      <c r="K33" s="7"/>
      <c r="L33" s="7">
        <f t="shared" si="0"/>
        <v>1.2166000000000001</v>
      </c>
      <c r="M33" s="188"/>
      <c r="N33" s="188"/>
      <c r="O33" s="188"/>
      <c r="P33" s="188"/>
    </row>
    <row r="34" spans="3:16" s="170" customFormat="1" x14ac:dyDescent="0.3">
      <c r="C34" s="183"/>
      <c r="D34" s="4" t="s">
        <v>299</v>
      </c>
      <c r="E34" s="124" t="s">
        <v>0</v>
      </c>
      <c r="F34" s="5">
        <v>1</v>
      </c>
      <c r="G34" s="6">
        <v>0.75</v>
      </c>
      <c r="H34" s="6"/>
      <c r="I34" s="6">
        <v>1.45</v>
      </c>
      <c r="J34" s="125">
        <v>1</v>
      </c>
      <c r="K34" s="7"/>
      <c r="L34" s="7">
        <f t="shared" si="0"/>
        <v>1.0874999999999999</v>
      </c>
      <c r="M34" s="188"/>
      <c r="N34" s="188"/>
      <c r="O34" s="188"/>
      <c r="P34" s="188"/>
    </row>
    <row r="35" spans="3:16" s="170" customFormat="1" x14ac:dyDescent="0.3">
      <c r="C35" s="183"/>
      <c r="D35" s="4" t="s">
        <v>300</v>
      </c>
      <c r="E35" s="124" t="s">
        <v>0</v>
      </c>
      <c r="F35" s="5">
        <v>1</v>
      </c>
      <c r="G35" s="6">
        <v>1</v>
      </c>
      <c r="H35" s="6"/>
      <c r="I35" s="6">
        <v>1.25</v>
      </c>
      <c r="J35" s="125">
        <v>1</v>
      </c>
      <c r="K35" s="7"/>
      <c r="L35" s="7">
        <f t="shared" si="0"/>
        <v>1.25</v>
      </c>
      <c r="M35" s="188"/>
      <c r="N35" s="188"/>
      <c r="O35" s="188"/>
      <c r="P35" s="188"/>
    </row>
    <row r="36" spans="3:16" s="170" customFormat="1" x14ac:dyDescent="0.3">
      <c r="C36" s="183"/>
      <c r="D36" s="4" t="s">
        <v>301</v>
      </c>
      <c r="E36" s="124" t="s">
        <v>0</v>
      </c>
      <c r="F36" s="5">
        <v>1</v>
      </c>
      <c r="G36" s="6">
        <v>1</v>
      </c>
      <c r="H36" s="6"/>
      <c r="I36" s="6">
        <v>1.08</v>
      </c>
      <c r="J36" s="125">
        <v>1</v>
      </c>
      <c r="K36" s="7"/>
      <c r="L36" s="7">
        <f t="shared" si="0"/>
        <v>1.08</v>
      </c>
      <c r="M36" s="188"/>
      <c r="N36" s="188"/>
      <c r="O36" s="188"/>
      <c r="P36" s="188"/>
    </row>
    <row r="37" spans="3:16" s="170" customFormat="1" x14ac:dyDescent="0.3">
      <c r="C37" s="183"/>
      <c r="D37" s="4" t="s">
        <v>302</v>
      </c>
      <c r="E37" s="124" t="s">
        <v>0</v>
      </c>
      <c r="F37" s="5">
        <v>1</v>
      </c>
      <c r="G37" s="6">
        <v>1.5</v>
      </c>
      <c r="H37" s="6"/>
      <c r="I37" s="6">
        <v>2.13</v>
      </c>
      <c r="J37" s="125">
        <v>1</v>
      </c>
      <c r="K37" s="7"/>
      <c r="L37" s="7">
        <f>IF(F37="","",PRODUCT(F37:J37))</f>
        <v>3.1949999999999998</v>
      </c>
      <c r="M37" s="188"/>
      <c r="N37" s="188"/>
      <c r="O37" s="188"/>
      <c r="P37" s="188"/>
    </row>
    <row r="38" spans="3:16" s="170" customFormat="1" x14ac:dyDescent="0.3">
      <c r="C38" s="181"/>
      <c r="D38" s="201" t="s">
        <v>127</v>
      </c>
      <c r="E38" s="193"/>
      <c r="F38" s="160"/>
      <c r="G38" s="191"/>
      <c r="H38" s="191"/>
      <c r="I38" s="191"/>
      <c r="J38" s="190"/>
      <c r="K38" s="180"/>
      <c r="L38" s="180"/>
      <c r="M38" s="180"/>
      <c r="N38" s="180"/>
      <c r="O38" s="180"/>
      <c r="P38" s="180"/>
    </row>
    <row r="39" spans="3:16" s="170" customFormat="1" x14ac:dyDescent="0.3">
      <c r="C39" s="181"/>
      <c r="D39" s="208" t="s">
        <v>287</v>
      </c>
      <c r="E39" s="193"/>
      <c r="F39" s="160"/>
      <c r="G39" s="191"/>
      <c r="H39" s="191"/>
      <c r="I39" s="191"/>
      <c r="J39" s="190"/>
      <c r="K39" s="180"/>
      <c r="L39" s="180"/>
      <c r="M39" s="180"/>
      <c r="N39" s="180"/>
      <c r="O39" s="180"/>
      <c r="P39" s="180"/>
    </row>
    <row r="40" spans="3:16" s="170" customFormat="1" x14ac:dyDescent="0.3">
      <c r="C40" s="181"/>
      <c r="D40" s="4" t="s">
        <v>303</v>
      </c>
      <c r="E40" s="124" t="s">
        <v>0</v>
      </c>
      <c r="F40" s="129">
        <v>1</v>
      </c>
      <c r="G40" s="130">
        <v>1.7</v>
      </c>
      <c r="H40" s="130"/>
      <c r="I40" s="130">
        <v>2.37</v>
      </c>
      <c r="J40" s="129">
        <v>1</v>
      </c>
      <c r="K40" s="7"/>
      <c r="L40" s="7">
        <f>IF(F40="","",PRODUCT(F40:J40))</f>
        <v>4.0289999999999999</v>
      </c>
      <c r="M40" s="180"/>
      <c r="N40" s="180"/>
      <c r="O40" s="180"/>
      <c r="P40" s="180"/>
    </row>
    <row r="41" spans="3:16" s="170" customFormat="1" x14ac:dyDescent="0.3">
      <c r="C41" s="181"/>
      <c r="D41" s="4" t="s">
        <v>304</v>
      </c>
      <c r="E41" s="124" t="s">
        <v>0</v>
      </c>
      <c r="F41" s="129">
        <v>1</v>
      </c>
      <c r="G41" s="130">
        <v>1.7</v>
      </c>
      <c r="H41" s="130"/>
      <c r="I41" s="130">
        <v>2.37</v>
      </c>
      <c r="J41" s="129">
        <v>1</v>
      </c>
      <c r="K41" s="7"/>
      <c r="L41" s="7">
        <f>IF(F41="","",PRODUCT(F41:J41))</f>
        <v>4.0289999999999999</v>
      </c>
      <c r="M41" s="180"/>
      <c r="N41" s="180"/>
      <c r="O41" s="180"/>
      <c r="P41" s="180"/>
    </row>
    <row r="42" spans="3:16" s="170" customFormat="1" x14ac:dyDescent="0.3">
      <c r="C42" s="181"/>
      <c r="D42" s="208" t="s">
        <v>305</v>
      </c>
      <c r="E42" s="202"/>
      <c r="F42" s="194"/>
      <c r="G42" s="195"/>
      <c r="H42" s="195"/>
      <c r="I42" s="195"/>
      <c r="J42" s="194"/>
      <c r="K42" s="188"/>
      <c r="L42" s="188"/>
      <c r="M42" s="180"/>
      <c r="N42" s="180"/>
      <c r="O42" s="180"/>
      <c r="P42" s="180"/>
    </row>
    <row r="43" spans="3:16" s="170" customFormat="1" x14ac:dyDescent="0.3">
      <c r="C43" s="181"/>
      <c r="D43" s="210" t="s">
        <v>306</v>
      </c>
      <c r="E43" s="202"/>
      <c r="F43" s="194"/>
      <c r="G43" s="195"/>
      <c r="H43" s="195"/>
      <c r="I43" s="195"/>
      <c r="J43" s="194"/>
      <c r="K43" s="188"/>
      <c r="L43" s="188"/>
      <c r="M43" s="180"/>
      <c r="N43" s="180"/>
      <c r="O43" s="180"/>
      <c r="P43" s="180"/>
    </row>
    <row r="44" spans="3:16" s="170" customFormat="1" x14ac:dyDescent="0.3">
      <c r="C44" s="181"/>
      <c r="D44" s="4" t="s">
        <v>307</v>
      </c>
      <c r="E44" s="124" t="s">
        <v>0</v>
      </c>
      <c r="F44" s="129">
        <v>1</v>
      </c>
      <c r="G44" s="130">
        <v>0.6</v>
      </c>
      <c r="H44" s="130"/>
      <c r="I44" s="130">
        <v>2.37</v>
      </c>
      <c r="J44" s="129">
        <v>1</v>
      </c>
      <c r="K44" s="7"/>
      <c r="L44" s="7">
        <f>IF(F44="","",PRODUCT(F44:J44))</f>
        <v>1.4219999999999999</v>
      </c>
      <c r="M44" s="180"/>
      <c r="N44" s="180"/>
      <c r="O44" s="180"/>
      <c r="P44" s="180"/>
    </row>
    <row r="45" spans="3:16" s="170" customFormat="1" x14ac:dyDescent="0.3">
      <c r="C45" s="181"/>
      <c r="D45" s="210" t="s">
        <v>308</v>
      </c>
      <c r="E45" s="202"/>
      <c r="F45" s="194"/>
      <c r="G45" s="195"/>
      <c r="H45" s="195"/>
      <c r="I45" s="195"/>
      <c r="J45" s="194"/>
      <c r="K45" s="188"/>
      <c r="L45" s="188"/>
      <c r="M45" s="180"/>
      <c r="N45" s="180"/>
      <c r="O45" s="180"/>
      <c r="P45" s="180"/>
    </row>
    <row r="46" spans="3:16" s="170" customFormat="1" x14ac:dyDescent="0.3">
      <c r="C46" s="181"/>
      <c r="D46" s="4" t="s">
        <v>309</v>
      </c>
      <c r="E46" s="124" t="s">
        <v>0</v>
      </c>
      <c r="F46" s="129">
        <v>1</v>
      </c>
      <c r="G46" s="130">
        <v>0.65</v>
      </c>
      <c r="H46" s="130"/>
      <c r="I46" s="6">
        <v>2.8</v>
      </c>
      <c r="J46" s="129">
        <v>1</v>
      </c>
      <c r="K46" s="7"/>
      <c r="L46" s="7">
        <f>IF(F46="","",PRODUCT(F46:J46))</f>
        <v>1.8199999999999998</v>
      </c>
      <c r="M46" s="180"/>
      <c r="N46" s="180"/>
      <c r="O46" s="180"/>
      <c r="P46" s="180"/>
    </row>
    <row r="47" spans="3:16" s="170" customFormat="1" x14ac:dyDescent="0.3">
      <c r="C47" s="181"/>
      <c r="D47" s="4" t="s">
        <v>310</v>
      </c>
      <c r="E47" s="124" t="s">
        <v>0</v>
      </c>
      <c r="F47" s="129">
        <v>1</v>
      </c>
      <c r="G47" s="130">
        <v>0.75</v>
      </c>
      <c r="H47" s="130"/>
      <c r="I47" s="6">
        <v>2.8</v>
      </c>
      <c r="J47" s="129">
        <v>1</v>
      </c>
      <c r="K47" s="7"/>
      <c r="L47" s="7">
        <f t="shared" ref="L47:L48" si="1">IF(F47="","",PRODUCT(F47:J47))</f>
        <v>2.0999999999999996</v>
      </c>
      <c r="M47" s="180"/>
      <c r="N47" s="180"/>
      <c r="O47" s="180"/>
      <c r="P47" s="180"/>
    </row>
    <row r="48" spans="3:16" s="170" customFormat="1" x14ac:dyDescent="0.3">
      <c r="C48" s="181"/>
      <c r="D48" s="4" t="s">
        <v>311</v>
      </c>
      <c r="E48" s="124" t="s">
        <v>0</v>
      </c>
      <c r="F48" s="129">
        <v>1</v>
      </c>
      <c r="G48" s="130">
        <v>0.8</v>
      </c>
      <c r="H48" s="130"/>
      <c r="I48" s="6">
        <v>2.8</v>
      </c>
      <c r="J48" s="129">
        <v>1</v>
      </c>
      <c r="K48" s="7"/>
      <c r="L48" s="7">
        <f t="shared" si="1"/>
        <v>2.2399999999999998</v>
      </c>
      <c r="M48" s="180"/>
      <c r="N48" s="180"/>
      <c r="O48" s="180"/>
      <c r="P48" s="180"/>
    </row>
    <row r="49" spans="3:16" s="170" customFormat="1" x14ac:dyDescent="0.3">
      <c r="C49" s="181"/>
      <c r="D49" s="4" t="s">
        <v>312</v>
      </c>
      <c r="E49" s="124" t="s">
        <v>0</v>
      </c>
      <c r="F49" s="129">
        <v>1</v>
      </c>
      <c r="G49" s="130">
        <v>0.75</v>
      </c>
      <c r="H49" s="130"/>
      <c r="I49" s="6">
        <v>2.8</v>
      </c>
      <c r="J49" s="129">
        <v>1</v>
      </c>
      <c r="K49" s="7"/>
      <c r="L49" s="7">
        <f>IF(F49="","",PRODUCT(F49:J49))</f>
        <v>2.0999999999999996</v>
      </c>
      <c r="M49" s="180"/>
      <c r="N49" s="180"/>
      <c r="O49" s="180"/>
      <c r="P49" s="180"/>
    </row>
    <row r="50" spans="3:16" s="170" customFormat="1" x14ac:dyDescent="0.3">
      <c r="C50" s="181"/>
      <c r="D50" s="4" t="s">
        <v>313</v>
      </c>
      <c r="E50" s="124" t="s">
        <v>0</v>
      </c>
      <c r="F50" s="129">
        <v>1</v>
      </c>
      <c r="G50" s="130">
        <v>0.75</v>
      </c>
      <c r="H50" s="130"/>
      <c r="I50" s="6">
        <v>2.8</v>
      </c>
      <c r="J50" s="129">
        <v>1</v>
      </c>
      <c r="K50" s="7"/>
      <c r="L50" s="7">
        <f t="shared" ref="L50:L51" si="2">IF(F50="","",PRODUCT(F50:J50))</f>
        <v>2.0999999999999996</v>
      </c>
      <c r="M50" s="180"/>
      <c r="N50" s="180"/>
      <c r="O50" s="180"/>
      <c r="P50" s="180"/>
    </row>
    <row r="51" spans="3:16" s="170" customFormat="1" x14ac:dyDescent="0.3">
      <c r="C51" s="181"/>
      <c r="D51" s="4" t="s">
        <v>314</v>
      </c>
      <c r="E51" s="124" t="s">
        <v>0</v>
      </c>
      <c r="F51" s="129">
        <v>1</v>
      </c>
      <c r="G51" s="130">
        <v>0.8</v>
      </c>
      <c r="H51" s="130"/>
      <c r="I51" s="6">
        <v>2.8</v>
      </c>
      <c r="J51" s="129">
        <v>1</v>
      </c>
      <c r="K51" s="7"/>
      <c r="L51" s="7">
        <f t="shared" si="2"/>
        <v>2.2399999999999998</v>
      </c>
      <c r="M51" s="180"/>
      <c r="N51" s="180"/>
      <c r="O51" s="180"/>
      <c r="P51" s="180"/>
    </row>
    <row r="52" spans="3:16" s="170" customFormat="1" x14ac:dyDescent="0.3">
      <c r="C52" s="181"/>
      <c r="D52" s="208" t="s">
        <v>292</v>
      </c>
      <c r="E52" s="193"/>
      <c r="F52" s="160"/>
      <c r="G52" s="191"/>
      <c r="H52" s="191"/>
      <c r="I52" s="191"/>
      <c r="J52" s="190"/>
      <c r="K52" s="180"/>
      <c r="L52" s="180"/>
      <c r="M52" s="180"/>
      <c r="N52" s="180"/>
      <c r="O52" s="180"/>
      <c r="P52" s="180"/>
    </row>
    <row r="53" spans="3:16" s="170" customFormat="1" x14ac:dyDescent="0.3">
      <c r="C53" s="181"/>
      <c r="D53" s="210" t="s">
        <v>308</v>
      </c>
      <c r="E53" s="193"/>
      <c r="F53" s="160"/>
      <c r="G53" s="191"/>
      <c r="H53" s="191"/>
      <c r="I53" s="191"/>
      <c r="J53" s="190"/>
      <c r="K53" s="180"/>
      <c r="L53" s="180"/>
      <c r="M53" s="180"/>
      <c r="N53" s="180"/>
      <c r="O53" s="180"/>
      <c r="P53" s="180"/>
    </row>
    <row r="54" spans="3:16" s="170" customFormat="1" x14ac:dyDescent="0.3">
      <c r="C54" s="181"/>
      <c r="D54" s="4" t="s">
        <v>315</v>
      </c>
      <c r="E54" s="124" t="s">
        <v>0</v>
      </c>
      <c r="F54" s="129">
        <v>1</v>
      </c>
      <c r="G54" s="130">
        <v>0.73</v>
      </c>
      <c r="H54" s="130"/>
      <c r="I54" s="6">
        <v>2.8</v>
      </c>
      <c r="J54" s="129">
        <v>1</v>
      </c>
      <c r="K54" s="7"/>
      <c r="L54" s="7">
        <f t="shared" ref="L54:L64" si="3">IF(F54="","",PRODUCT(F54:J54))</f>
        <v>2.044</v>
      </c>
      <c r="M54" s="180"/>
      <c r="N54" s="180"/>
      <c r="O54" s="180"/>
      <c r="P54" s="180"/>
    </row>
    <row r="55" spans="3:16" s="170" customFormat="1" x14ac:dyDescent="0.3">
      <c r="C55" s="181"/>
      <c r="D55" s="4" t="s">
        <v>316</v>
      </c>
      <c r="E55" s="124" t="s">
        <v>0</v>
      </c>
      <c r="F55" s="129">
        <v>1</v>
      </c>
      <c r="G55" s="130">
        <v>0.72</v>
      </c>
      <c r="H55" s="130"/>
      <c r="I55" s="6">
        <v>2.8</v>
      </c>
      <c r="J55" s="129">
        <v>1</v>
      </c>
      <c r="K55" s="7"/>
      <c r="L55" s="7">
        <f t="shared" si="3"/>
        <v>2.016</v>
      </c>
      <c r="M55" s="180"/>
      <c r="N55" s="180"/>
      <c r="O55" s="180"/>
      <c r="P55" s="180"/>
    </row>
    <row r="56" spans="3:16" s="170" customFormat="1" x14ac:dyDescent="0.3">
      <c r="C56" s="181"/>
      <c r="D56" s="4" t="s">
        <v>317</v>
      </c>
      <c r="E56" s="124" t="s">
        <v>0</v>
      </c>
      <c r="F56" s="129">
        <v>1</v>
      </c>
      <c r="G56" s="130">
        <v>0.75</v>
      </c>
      <c r="H56" s="130"/>
      <c r="I56" s="6">
        <v>2.8</v>
      </c>
      <c r="J56" s="129">
        <v>1</v>
      </c>
      <c r="K56" s="7"/>
      <c r="L56" s="7">
        <f t="shared" si="3"/>
        <v>2.0999999999999996</v>
      </c>
      <c r="M56" s="180"/>
      <c r="N56" s="180"/>
      <c r="O56" s="180"/>
      <c r="P56" s="180"/>
    </row>
    <row r="57" spans="3:16" s="170" customFormat="1" x14ac:dyDescent="0.3">
      <c r="C57" s="181"/>
      <c r="D57" s="4" t="s">
        <v>318</v>
      </c>
      <c r="E57" s="124" t="s">
        <v>0</v>
      </c>
      <c r="F57" s="129">
        <v>1</v>
      </c>
      <c r="G57" s="130">
        <v>0.7</v>
      </c>
      <c r="H57" s="130"/>
      <c r="I57" s="6">
        <v>2.8</v>
      </c>
      <c r="J57" s="129">
        <v>1</v>
      </c>
      <c r="K57" s="7"/>
      <c r="L57" s="7">
        <f t="shared" si="3"/>
        <v>1.9599999999999997</v>
      </c>
      <c r="M57" s="180"/>
      <c r="N57" s="180"/>
      <c r="O57" s="180"/>
      <c r="P57" s="180"/>
    </row>
    <row r="58" spans="3:16" s="170" customFormat="1" x14ac:dyDescent="0.3">
      <c r="C58" s="181"/>
      <c r="D58" s="4" t="s">
        <v>319</v>
      </c>
      <c r="E58" s="124" t="s">
        <v>0</v>
      </c>
      <c r="F58" s="129">
        <v>1</v>
      </c>
      <c r="G58" s="130">
        <v>1.03</v>
      </c>
      <c r="H58" s="130"/>
      <c r="I58" s="6">
        <v>2.8</v>
      </c>
      <c r="J58" s="129">
        <v>1</v>
      </c>
      <c r="K58" s="7"/>
      <c r="L58" s="7">
        <f t="shared" si="3"/>
        <v>2.8839999999999999</v>
      </c>
      <c r="M58" s="180"/>
      <c r="N58" s="180"/>
      <c r="O58" s="180"/>
      <c r="P58" s="180"/>
    </row>
    <row r="59" spans="3:16" s="170" customFormat="1" x14ac:dyDescent="0.3">
      <c r="C59" s="181"/>
      <c r="D59" s="4" t="s">
        <v>320</v>
      </c>
      <c r="E59" s="124" t="s">
        <v>0</v>
      </c>
      <c r="F59" s="129">
        <v>1</v>
      </c>
      <c r="G59" s="130">
        <v>0.96</v>
      </c>
      <c r="H59" s="130"/>
      <c r="I59" s="6">
        <v>2.8</v>
      </c>
      <c r="J59" s="129">
        <v>1</v>
      </c>
      <c r="K59" s="7"/>
      <c r="L59" s="7">
        <f t="shared" si="3"/>
        <v>2.6879999999999997</v>
      </c>
      <c r="M59" s="180"/>
      <c r="N59" s="180"/>
      <c r="O59" s="180"/>
      <c r="P59" s="180"/>
    </row>
    <row r="60" spans="3:16" s="170" customFormat="1" x14ac:dyDescent="0.3">
      <c r="C60" s="181"/>
      <c r="D60" s="4" t="s">
        <v>321</v>
      </c>
      <c r="E60" s="124" t="s">
        <v>0</v>
      </c>
      <c r="F60" s="129">
        <v>1</v>
      </c>
      <c r="G60" s="130">
        <v>1.03</v>
      </c>
      <c r="H60" s="130"/>
      <c r="I60" s="6">
        <v>2.8</v>
      </c>
      <c r="J60" s="129">
        <v>1</v>
      </c>
      <c r="K60" s="7"/>
      <c r="L60" s="7">
        <f t="shared" si="3"/>
        <v>2.8839999999999999</v>
      </c>
      <c r="M60" s="180"/>
      <c r="N60" s="180"/>
      <c r="O60" s="180"/>
      <c r="P60" s="180"/>
    </row>
    <row r="61" spans="3:16" s="170" customFormat="1" x14ac:dyDescent="0.3">
      <c r="C61" s="181"/>
      <c r="D61" s="4" t="s">
        <v>322</v>
      </c>
      <c r="E61" s="124" t="s">
        <v>0</v>
      </c>
      <c r="F61" s="129">
        <v>1</v>
      </c>
      <c r="G61" s="130">
        <v>0.7</v>
      </c>
      <c r="H61" s="130"/>
      <c r="I61" s="6">
        <v>2.8</v>
      </c>
      <c r="J61" s="129">
        <v>1</v>
      </c>
      <c r="K61" s="7"/>
      <c r="L61" s="7">
        <f t="shared" si="3"/>
        <v>1.9599999999999997</v>
      </c>
      <c r="M61" s="180"/>
      <c r="N61" s="180"/>
      <c r="O61" s="180"/>
      <c r="P61" s="180"/>
    </row>
    <row r="62" spans="3:16" s="170" customFormat="1" x14ac:dyDescent="0.3">
      <c r="C62" s="181"/>
      <c r="D62" s="4" t="s">
        <v>323</v>
      </c>
      <c r="E62" s="124" t="s">
        <v>0</v>
      </c>
      <c r="F62" s="129">
        <v>1</v>
      </c>
      <c r="G62" s="130">
        <v>0.73</v>
      </c>
      <c r="H62" s="130"/>
      <c r="I62" s="6">
        <v>2.8</v>
      </c>
      <c r="J62" s="129">
        <v>1</v>
      </c>
      <c r="K62" s="7"/>
      <c r="L62" s="7">
        <f t="shared" si="3"/>
        <v>2.044</v>
      </c>
      <c r="M62" s="180"/>
      <c r="N62" s="180"/>
      <c r="O62" s="180"/>
      <c r="P62" s="180"/>
    </row>
    <row r="63" spans="3:16" s="170" customFormat="1" x14ac:dyDescent="0.3">
      <c r="C63" s="181"/>
      <c r="D63" s="4" t="s">
        <v>324</v>
      </c>
      <c r="E63" s="124" t="s">
        <v>0</v>
      </c>
      <c r="F63" s="129">
        <v>1</v>
      </c>
      <c r="G63" s="130">
        <v>0.72</v>
      </c>
      <c r="H63" s="130"/>
      <c r="I63" s="6">
        <v>2.8</v>
      </c>
      <c r="J63" s="129">
        <v>1</v>
      </c>
      <c r="K63" s="7"/>
      <c r="L63" s="7">
        <f t="shared" si="3"/>
        <v>2.016</v>
      </c>
      <c r="M63" s="180"/>
      <c r="N63" s="180"/>
      <c r="O63" s="180"/>
      <c r="P63" s="180"/>
    </row>
    <row r="64" spans="3:16" s="170" customFormat="1" x14ac:dyDescent="0.3">
      <c r="C64" s="181"/>
      <c r="D64" s="4" t="s">
        <v>325</v>
      </c>
      <c r="E64" s="124" t="s">
        <v>0</v>
      </c>
      <c r="F64" s="129">
        <v>1</v>
      </c>
      <c r="G64" s="130">
        <v>0.73</v>
      </c>
      <c r="H64" s="130"/>
      <c r="I64" s="6">
        <v>2.8</v>
      </c>
      <c r="J64" s="129">
        <v>1</v>
      </c>
      <c r="K64" s="7"/>
      <c r="L64" s="7">
        <f t="shared" si="3"/>
        <v>2.044</v>
      </c>
      <c r="M64" s="180"/>
      <c r="N64" s="180"/>
      <c r="O64" s="180"/>
      <c r="P64" s="180"/>
    </row>
    <row r="65" spans="1:16" s="170" customFormat="1" x14ac:dyDescent="0.3">
      <c r="C65" s="181"/>
      <c r="D65" s="197" t="s">
        <v>186</v>
      </c>
      <c r="E65" s="189"/>
      <c r="F65" s="160"/>
      <c r="G65" s="191"/>
      <c r="H65" s="191"/>
      <c r="I65" s="180"/>
      <c r="J65" s="190"/>
      <c r="K65" s="180"/>
      <c r="L65" s="180"/>
      <c r="M65" s="180"/>
      <c r="N65" s="180"/>
      <c r="O65" s="180"/>
      <c r="P65" s="180"/>
    </row>
    <row r="66" spans="1:16" s="170" customFormat="1" x14ac:dyDescent="0.3">
      <c r="C66" s="181"/>
      <c r="D66" s="192" t="s">
        <v>127</v>
      </c>
      <c r="E66" s="189"/>
      <c r="F66" s="160"/>
      <c r="G66" s="191"/>
      <c r="H66" s="191"/>
      <c r="I66" s="180"/>
      <c r="J66" s="190"/>
      <c r="K66" s="180"/>
      <c r="L66" s="180"/>
      <c r="M66" s="180"/>
      <c r="N66" s="180"/>
      <c r="O66" s="180"/>
      <c r="P66" s="180"/>
    </row>
    <row r="67" spans="1:16" s="170" customFormat="1" x14ac:dyDescent="0.3">
      <c r="C67" s="181"/>
      <c r="D67" s="210" t="s">
        <v>308</v>
      </c>
      <c r="E67" s="193"/>
      <c r="F67" s="160"/>
      <c r="G67" s="191"/>
      <c r="H67" s="191"/>
      <c r="I67" s="191"/>
      <c r="J67" s="190"/>
      <c r="K67" s="180"/>
      <c r="L67" s="180"/>
      <c r="M67" s="180"/>
      <c r="N67" s="180"/>
      <c r="O67" s="180"/>
      <c r="P67" s="180"/>
    </row>
    <row r="68" spans="1:16" s="170" customFormat="1" x14ac:dyDescent="0.3">
      <c r="C68" s="183"/>
      <c r="D68" s="4" t="s">
        <v>326</v>
      </c>
      <c r="E68" s="135" t="s">
        <v>0</v>
      </c>
      <c r="F68" s="5">
        <v>-1</v>
      </c>
      <c r="G68" s="6">
        <f>22.6-0.1</f>
        <v>22.5</v>
      </c>
      <c r="H68" s="6"/>
      <c r="I68" s="7">
        <v>2.1</v>
      </c>
      <c r="J68" s="125">
        <v>1</v>
      </c>
      <c r="K68" s="7"/>
      <c r="L68" s="7">
        <f>IF(F68="","",PRODUCT(F68:J68))</f>
        <v>-47.25</v>
      </c>
      <c r="M68" s="188"/>
      <c r="N68" s="188"/>
      <c r="O68" s="188"/>
      <c r="P68" s="188"/>
    </row>
    <row r="69" spans="1:16" s="170" customFormat="1" x14ac:dyDescent="0.3">
      <c r="C69" s="181"/>
      <c r="D69" s="199"/>
      <c r="E69" s="202"/>
      <c r="F69" s="194"/>
      <c r="G69" s="195"/>
      <c r="H69" s="195"/>
      <c r="I69" s="195"/>
      <c r="J69" s="194"/>
      <c r="K69" s="188"/>
      <c r="L69" s="188"/>
      <c r="M69" s="180"/>
      <c r="N69" s="180"/>
      <c r="O69" s="180"/>
      <c r="P69" s="180"/>
    </row>
    <row r="70" spans="1:16" s="170" customFormat="1" x14ac:dyDescent="0.3">
      <c r="A70" s="170">
        <v>3</v>
      </c>
      <c r="C70" s="99" t="s">
        <v>1181</v>
      </c>
      <c r="D70" s="100" t="s">
        <v>521</v>
      </c>
      <c r="E70" s="209" t="s">
        <v>0</v>
      </c>
      <c r="F70" s="158"/>
      <c r="G70" s="159"/>
      <c r="H70" s="159"/>
      <c r="I70" s="159"/>
      <c r="J70" s="211"/>
      <c r="K70" s="175"/>
      <c r="L70" s="175"/>
      <c r="M70" s="175"/>
      <c r="N70" s="175"/>
      <c r="O70" s="175"/>
      <c r="P70" s="175">
        <f>SUM(L70:L105)</f>
        <v>96.91040000000001</v>
      </c>
    </row>
    <row r="71" spans="1:16" s="170" customFormat="1" x14ac:dyDescent="0.3">
      <c r="C71" s="176"/>
      <c r="D71" s="201" t="s">
        <v>127</v>
      </c>
      <c r="E71" s="209"/>
      <c r="F71" s="158"/>
      <c r="G71" s="159"/>
      <c r="H71" s="159"/>
      <c r="I71" s="159"/>
      <c r="J71" s="190"/>
      <c r="K71" s="180"/>
      <c r="L71" s="180"/>
      <c r="M71" s="180"/>
      <c r="N71" s="180"/>
      <c r="O71" s="180"/>
      <c r="P71" s="180"/>
    </row>
    <row r="72" spans="1:16" s="170" customFormat="1" x14ac:dyDescent="0.3">
      <c r="C72" s="176"/>
      <c r="D72" s="208" t="s">
        <v>305</v>
      </c>
      <c r="E72" s="209"/>
      <c r="F72" s="158"/>
      <c r="G72" s="159"/>
      <c r="H72" s="159"/>
      <c r="I72" s="159"/>
      <c r="J72" s="190"/>
      <c r="K72" s="180"/>
      <c r="L72" s="180"/>
      <c r="M72" s="180"/>
      <c r="N72" s="180"/>
      <c r="O72" s="180"/>
      <c r="P72" s="180"/>
    </row>
    <row r="73" spans="1:16" s="170" customFormat="1" x14ac:dyDescent="0.3">
      <c r="C73" s="176"/>
      <c r="D73" s="210" t="s">
        <v>278</v>
      </c>
      <c r="E73" s="209"/>
      <c r="F73" s="158"/>
      <c r="G73" s="159"/>
      <c r="H73" s="159"/>
      <c r="I73" s="159"/>
      <c r="J73" s="190"/>
      <c r="K73" s="180"/>
      <c r="L73" s="180"/>
      <c r="M73" s="180"/>
      <c r="N73" s="180"/>
      <c r="O73" s="180"/>
      <c r="P73" s="180"/>
    </row>
    <row r="74" spans="1:16" s="170" customFormat="1" x14ac:dyDescent="0.3">
      <c r="C74" s="176"/>
      <c r="D74" s="4" t="s">
        <v>307</v>
      </c>
      <c r="E74" s="124" t="s">
        <v>0</v>
      </c>
      <c r="F74" s="129">
        <v>1</v>
      </c>
      <c r="G74" s="130">
        <v>0.6</v>
      </c>
      <c r="H74" s="130"/>
      <c r="I74" s="130">
        <v>2.37</v>
      </c>
      <c r="J74" s="129">
        <v>1</v>
      </c>
      <c r="K74" s="7"/>
      <c r="L74" s="7">
        <f>IF(F74="","",PRODUCT(F74:J74))</f>
        <v>1.4219999999999999</v>
      </c>
      <c r="M74" s="180"/>
      <c r="N74" s="180"/>
      <c r="O74" s="180"/>
      <c r="P74" s="180"/>
    </row>
    <row r="75" spans="1:16" s="170" customFormat="1" x14ac:dyDescent="0.3">
      <c r="C75" s="176"/>
      <c r="D75" s="4" t="s">
        <v>327</v>
      </c>
      <c r="E75" s="124" t="s">
        <v>0</v>
      </c>
      <c r="F75" s="129">
        <v>1</v>
      </c>
      <c r="G75" s="130">
        <v>1.08</v>
      </c>
      <c r="H75" s="130"/>
      <c r="I75" s="130">
        <v>2.4300000000000002</v>
      </c>
      <c r="J75" s="129">
        <v>1</v>
      </c>
      <c r="K75" s="7"/>
      <c r="L75" s="7">
        <f>IF(F75="","",PRODUCT(F75:J75))</f>
        <v>2.6244000000000005</v>
      </c>
      <c r="M75" s="180"/>
      <c r="N75" s="180"/>
      <c r="O75" s="180"/>
      <c r="P75" s="180"/>
    </row>
    <row r="76" spans="1:16" s="170" customFormat="1" x14ac:dyDescent="0.3">
      <c r="C76" s="176"/>
      <c r="D76" s="4" t="s">
        <v>328</v>
      </c>
      <c r="E76" s="124" t="s">
        <v>0</v>
      </c>
      <c r="F76" s="129">
        <v>1</v>
      </c>
      <c r="G76" s="130">
        <v>1.74</v>
      </c>
      <c r="H76" s="130"/>
      <c r="I76" s="130">
        <v>1.8</v>
      </c>
      <c r="J76" s="129">
        <v>1</v>
      </c>
      <c r="K76" s="7"/>
      <c r="L76" s="7">
        <f t="shared" ref="L76:L80" si="4">IF(F76="","",PRODUCT(F76:J76))</f>
        <v>3.1320000000000001</v>
      </c>
      <c r="M76" s="180"/>
      <c r="N76" s="180"/>
      <c r="O76" s="180"/>
      <c r="P76" s="180"/>
    </row>
    <row r="77" spans="1:16" s="170" customFormat="1" x14ac:dyDescent="0.3">
      <c r="C77" s="176"/>
      <c r="D77" s="4" t="s">
        <v>329</v>
      </c>
      <c r="E77" s="124" t="s">
        <v>0</v>
      </c>
      <c r="F77" s="129">
        <v>1</v>
      </c>
      <c r="G77" s="130">
        <v>1.55</v>
      </c>
      <c r="H77" s="130"/>
      <c r="I77" s="130">
        <v>1.8</v>
      </c>
      <c r="J77" s="129">
        <v>1</v>
      </c>
      <c r="K77" s="7"/>
      <c r="L77" s="7">
        <f t="shared" si="4"/>
        <v>2.79</v>
      </c>
      <c r="M77" s="180"/>
      <c r="N77" s="180"/>
      <c r="O77" s="180"/>
      <c r="P77" s="180"/>
    </row>
    <row r="78" spans="1:16" s="170" customFormat="1" x14ac:dyDescent="0.3">
      <c r="C78" s="176"/>
      <c r="D78" s="4" t="s">
        <v>330</v>
      </c>
      <c r="E78" s="124" t="s">
        <v>0</v>
      </c>
      <c r="F78" s="129">
        <v>1</v>
      </c>
      <c r="G78" s="130">
        <v>1.55</v>
      </c>
      <c r="H78" s="130"/>
      <c r="I78" s="130">
        <v>1.8</v>
      </c>
      <c r="J78" s="129">
        <v>1</v>
      </c>
      <c r="K78" s="7"/>
      <c r="L78" s="7">
        <f t="shared" si="4"/>
        <v>2.79</v>
      </c>
      <c r="M78" s="180"/>
      <c r="N78" s="180"/>
      <c r="O78" s="180"/>
      <c r="P78" s="180"/>
    </row>
    <row r="79" spans="1:16" s="170" customFormat="1" x14ac:dyDescent="0.3">
      <c r="C79" s="176"/>
      <c r="D79" s="4" t="s">
        <v>331</v>
      </c>
      <c r="E79" s="124" t="s">
        <v>0</v>
      </c>
      <c r="F79" s="129">
        <v>1</v>
      </c>
      <c r="G79" s="130">
        <v>0.7</v>
      </c>
      <c r="H79" s="130"/>
      <c r="I79" s="130">
        <v>1.8</v>
      </c>
      <c r="J79" s="129">
        <v>1</v>
      </c>
      <c r="K79" s="7"/>
      <c r="L79" s="7">
        <f t="shared" si="4"/>
        <v>1.26</v>
      </c>
      <c r="M79" s="180"/>
      <c r="N79" s="180"/>
      <c r="O79" s="180"/>
      <c r="P79" s="180"/>
    </row>
    <row r="80" spans="1:16" s="170" customFormat="1" x14ac:dyDescent="0.3">
      <c r="C80" s="176"/>
      <c r="D80" s="4" t="s">
        <v>309</v>
      </c>
      <c r="E80" s="124" t="s">
        <v>0</v>
      </c>
      <c r="F80" s="129">
        <v>1</v>
      </c>
      <c r="G80" s="130">
        <v>0.65</v>
      </c>
      <c r="H80" s="130"/>
      <c r="I80" s="130">
        <v>0.68</v>
      </c>
      <c r="J80" s="129">
        <v>1</v>
      </c>
      <c r="K80" s="7"/>
      <c r="L80" s="7">
        <f t="shared" si="4"/>
        <v>0.44200000000000006</v>
      </c>
      <c r="M80" s="180"/>
      <c r="N80" s="180"/>
      <c r="O80" s="180"/>
      <c r="P80" s="180"/>
    </row>
    <row r="81" spans="3:16" s="170" customFormat="1" x14ac:dyDescent="0.3">
      <c r="C81" s="181"/>
      <c r="D81" s="201" t="s">
        <v>332</v>
      </c>
      <c r="E81" s="193"/>
      <c r="F81" s="160"/>
      <c r="G81" s="191"/>
      <c r="H81" s="191"/>
      <c r="I81" s="191"/>
      <c r="J81" s="190"/>
      <c r="K81" s="180"/>
      <c r="L81" s="180"/>
      <c r="M81" s="180"/>
      <c r="N81" s="180"/>
      <c r="O81" s="180"/>
      <c r="P81" s="180"/>
    </row>
    <row r="82" spans="3:16" s="170" customFormat="1" x14ac:dyDescent="0.3">
      <c r="C82" s="181"/>
      <c r="D82" s="208" t="s">
        <v>292</v>
      </c>
      <c r="E82" s="193"/>
      <c r="F82" s="160"/>
      <c r="G82" s="191"/>
      <c r="H82" s="191"/>
      <c r="I82" s="191"/>
      <c r="J82" s="190"/>
      <c r="K82" s="180"/>
      <c r="L82" s="180"/>
      <c r="M82" s="180"/>
      <c r="N82" s="180"/>
      <c r="O82" s="180"/>
      <c r="P82" s="180"/>
    </row>
    <row r="83" spans="3:16" s="170" customFormat="1" x14ac:dyDescent="0.3">
      <c r="C83" s="181"/>
      <c r="D83" s="210" t="s">
        <v>333</v>
      </c>
      <c r="E83" s="193"/>
      <c r="F83" s="160"/>
      <c r="G83" s="191"/>
      <c r="H83" s="191"/>
      <c r="I83" s="191"/>
      <c r="J83" s="190"/>
      <c r="K83" s="180"/>
      <c r="L83" s="180"/>
      <c r="M83" s="180"/>
      <c r="N83" s="180"/>
      <c r="O83" s="180"/>
      <c r="P83" s="180"/>
    </row>
    <row r="84" spans="3:16" s="170" customFormat="1" x14ac:dyDescent="0.3">
      <c r="C84" s="176"/>
      <c r="D84" s="4" t="s">
        <v>310</v>
      </c>
      <c r="E84" s="124" t="s">
        <v>0</v>
      </c>
      <c r="F84" s="129">
        <v>1</v>
      </c>
      <c r="G84" s="130">
        <v>0.75</v>
      </c>
      <c r="H84" s="130"/>
      <c r="I84" s="130">
        <f>2.8</f>
        <v>2.8</v>
      </c>
      <c r="J84" s="129">
        <v>1</v>
      </c>
      <c r="K84" s="7"/>
      <c r="L84" s="7">
        <f t="shared" ref="L84:L100" si="5">IF(F84="","",PRODUCT(F84:J84))</f>
        <v>2.0999999999999996</v>
      </c>
      <c r="M84" s="180"/>
      <c r="N84" s="180"/>
      <c r="O84" s="180"/>
      <c r="P84" s="180"/>
    </row>
    <row r="85" spans="3:16" s="170" customFormat="1" x14ac:dyDescent="0.3">
      <c r="C85" s="176"/>
      <c r="D85" s="4" t="s">
        <v>311</v>
      </c>
      <c r="E85" s="124" t="s">
        <v>0</v>
      </c>
      <c r="F85" s="129">
        <v>1</v>
      </c>
      <c r="G85" s="130">
        <v>0.8</v>
      </c>
      <c r="H85" s="130"/>
      <c r="I85" s="130">
        <v>2.67</v>
      </c>
      <c r="J85" s="129">
        <v>1</v>
      </c>
      <c r="K85" s="7"/>
      <c r="L85" s="7">
        <f t="shared" si="5"/>
        <v>2.1360000000000001</v>
      </c>
      <c r="M85" s="180"/>
      <c r="N85" s="180"/>
      <c r="O85" s="180"/>
      <c r="P85" s="180"/>
    </row>
    <row r="86" spans="3:16" s="170" customFormat="1" x14ac:dyDescent="0.3">
      <c r="C86" s="176"/>
      <c r="D86" s="4" t="s">
        <v>334</v>
      </c>
      <c r="E86" s="124" t="s">
        <v>0</v>
      </c>
      <c r="F86" s="129">
        <v>1</v>
      </c>
      <c r="G86" s="130">
        <v>0.77</v>
      </c>
      <c r="H86" s="130"/>
      <c r="I86" s="130">
        <v>2.61</v>
      </c>
      <c r="J86" s="129">
        <v>1</v>
      </c>
      <c r="K86" s="7"/>
      <c r="L86" s="7">
        <f t="shared" si="5"/>
        <v>2.0097</v>
      </c>
      <c r="M86" s="180"/>
      <c r="N86" s="180"/>
      <c r="O86" s="180"/>
      <c r="P86" s="180"/>
    </row>
    <row r="87" spans="3:16" s="170" customFormat="1" x14ac:dyDescent="0.3">
      <c r="C87" s="176"/>
      <c r="D87" s="4" t="s">
        <v>335</v>
      </c>
      <c r="E87" s="124" t="s">
        <v>0</v>
      </c>
      <c r="F87" s="129">
        <v>1</v>
      </c>
      <c r="G87" s="130">
        <v>0.76</v>
      </c>
      <c r="H87" s="130"/>
      <c r="I87" s="130">
        <v>2.48</v>
      </c>
      <c r="J87" s="129">
        <v>1</v>
      </c>
      <c r="K87" s="7"/>
      <c r="L87" s="7">
        <f t="shared" si="5"/>
        <v>1.8848</v>
      </c>
      <c r="M87" s="180"/>
      <c r="N87" s="180"/>
      <c r="O87" s="180"/>
      <c r="P87" s="180"/>
    </row>
    <row r="88" spans="3:16" s="170" customFormat="1" x14ac:dyDescent="0.3">
      <c r="C88" s="176"/>
      <c r="D88" s="4" t="s">
        <v>336</v>
      </c>
      <c r="E88" s="124" t="s">
        <v>0</v>
      </c>
      <c r="F88" s="129">
        <v>1</v>
      </c>
      <c r="G88" s="130">
        <v>0.77</v>
      </c>
      <c r="H88" s="130"/>
      <c r="I88" s="130">
        <v>2.35</v>
      </c>
      <c r="J88" s="129">
        <v>1</v>
      </c>
      <c r="K88" s="7"/>
      <c r="L88" s="7">
        <f t="shared" si="5"/>
        <v>1.8095000000000001</v>
      </c>
      <c r="M88" s="180"/>
      <c r="N88" s="180"/>
      <c r="O88" s="180"/>
      <c r="P88" s="180"/>
    </row>
    <row r="89" spans="3:16" s="170" customFormat="1" x14ac:dyDescent="0.3">
      <c r="C89" s="176"/>
      <c r="D89" s="4" t="s">
        <v>337</v>
      </c>
      <c r="E89" s="124" t="s">
        <v>0</v>
      </c>
      <c r="F89" s="129">
        <v>1</v>
      </c>
      <c r="G89" s="130">
        <v>0.76</v>
      </c>
      <c r="H89" s="130"/>
      <c r="I89" s="130">
        <v>2.2200000000000002</v>
      </c>
      <c r="J89" s="129">
        <v>1</v>
      </c>
      <c r="K89" s="7"/>
      <c r="L89" s="7">
        <f t="shared" si="5"/>
        <v>1.6872000000000003</v>
      </c>
      <c r="M89" s="180"/>
      <c r="N89" s="180"/>
      <c r="O89" s="180"/>
      <c r="P89" s="180"/>
    </row>
    <row r="90" spans="3:16" s="170" customFormat="1" x14ac:dyDescent="0.3">
      <c r="C90" s="176"/>
      <c r="D90" s="4" t="s">
        <v>338</v>
      </c>
      <c r="E90" s="124" t="s">
        <v>0</v>
      </c>
      <c r="F90" s="129">
        <v>1</v>
      </c>
      <c r="G90" s="130">
        <v>1</v>
      </c>
      <c r="H90" s="130"/>
      <c r="I90" s="130">
        <v>2.02</v>
      </c>
      <c r="J90" s="129">
        <v>1</v>
      </c>
      <c r="K90" s="7"/>
      <c r="L90" s="7">
        <f t="shared" si="5"/>
        <v>2.02</v>
      </c>
      <c r="M90" s="180"/>
      <c r="N90" s="180"/>
      <c r="O90" s="180"/>
      <c r="P90" s="180"/>
    </row>
    <row r="91" spans="3:16" s="170" customFormat="1" x14ac:dyDescent="0.3">
      <c r="C91" s="176"/>
      <c r="D91" s="4" t="s">
        <v>339</v>
      </c>
      <c r="E91" s="124" t="s">
        <v>0</v>
      </c>
      <c r="F91" s="129">
        <v>1</v>
      </c>
      <c r="G91" s="130">
        <v>1</v>
      </c>
      <c r="H91" s="130"/>
      <c r="I91" s="130">
        <v>1.86</v>
      </c>
      <c r="J91" s="129">
        <v>1</v>
      </c>
      <c r="K91" s="7"/>
      <c r="L91" s="7">
        <f t="shared" si="5"/>
        <v>1.86</v>
      </c>
      <c r="M91" s="180"/>
      <c r="N91" s="180"/>
      <c r="O91" s="180"/>
      <c r="P91" s="180"/>
    </row>
    <row r="92" spans="3:16" s="170" customFormat="1" x14ac:dyDescent="0.3">
      <c r="C92" s="176"/>
      <c r="D92" s="4" t="s">
        <v>340</v>
      </c>
      <c r="E92" s="124" t="s">
        <v>0</v>
      </c>
      <c r="F92" s="129">
        <v>1</v>
      </c>
      <c r="G92" s="130">
        <v>1</v>
      </c>
      <c r="H92" s="130"/>
      <c r="I92" s="130">
        <v>1.7</v>
      </c>
      <c r="J92" s="129">
        <v>1</v>
      </c>
      <c r="K92" s="7"/>
      <c r="L92" s="7">
        <f t="shared" si="5"/>
        <v>1.7</v>
      </c>
      <c r="M92" s="180"/>
      <c r="N92" s="180"/>
      <c r="O92" s="180"/>
      <c r="P92" s="180"/>
    </row>
    <row r="93" spans="3:16" s="170" customFormat="1" x14ac:dyDescent="0.3">
      <c r="C93" s="176"/>
      <c r="D93" s="4" t="s">
        <v>341</v>
      </c>
      <c r="E93" s="124" t="s">
        <v>0</v>
      </c>
      <c r="F93" s="129">
        <v>1</v>
      </c>
      <c r="G93" s="130">
        <v>0.76</v>
      </c>
      <c r="H93" s="130"/>
      <c r="I93" s="130">
        <v>1.5</v>
      </c>
      <c r="J93" s="129">
        <v>1</v>
      </c>
      <c r="K93" s="7"/>
      <c r="L93" s="7">
        <f t="shared" si="5"/>
        <v>1.1400000000000001</v>
      </c>
      <c r="M93" s="180"/>
      <c r="N93" s="180"/>
      <c r="O93" s="180"/>
      <c r="P93" s="180"/>
    </row>
    <row r="94" spans="3:16" s="170" customFormat="1" x14ac:dyDescent="0.3">
      <c r="C94" s="176"/>
      <c r="D94" s="4" t="s">
        <v>342</v>
      </c>
      <c r="E94" s="124" t="s">
        <v>0</v>
      </c>
      <c r="F94" s="129">
        <v>1</v>
      </c>
      <c r="G94" s="130">
        <v>0.77</v>
      </c>
      <c r="H94" s="130"/>
      <c r="I94" s="130">
        <v>1.37</v>
      </c>
      <c r="J94" s="129">
        <v>1</v>
      </c>
      <c r="K94" s="7"/>
      <c r="L94" s="7">
        <f t="shared" si="5"/>
        <v>1.0549000000000002</v>
      </c>
      <c r="M94" s="180"/>
      <c r="N94" s="180"/>
      <c r="O94" s="180"/>
      <c r="P94" s="180"/>
    </row>
    <row r="95" spans="3:16" s="170" customFormat="1" x14ac:dyDescent="0.3">
      <c r="C95" s="176"/>
      <c r="D95" s="4" t="s">
        <v>343</v>
      </c>
      <c r="E95" s="124" t="s">
        <v>0</v>
      </c>
      <c r="F95" s="129">
        <v>1</v>
      </c>
      <c r="G95" s="130">
        <v>0.76</v>
      </c>
      <c r="H95" s="130"/>
      <c r="I95" s="130">
        <v>1.24</v>
      </c>
      <c r="J95" s="129">
        <v>1</v>
      </c>
      <c r="K95" s="7"/>
      <c r="L95" s="7">
        <f t="shared" si="5"/>
        <v>0.94240000000000002</v>
      </c>
      <c r="M95" s="180"/>
      <c r="N95" s="180"/>
      <c r="O95" s="180"/>
      <c r="P95" s="180"/>
    </row>
    <row r="96" spans="3:16" s="170" customFormat="1" x14ac:dyDescent="0.3">
      <c r="C96" s="176"/>
      <c r="D96" s="4" t="s">
        <v>344</v>
      </c>
      <c r="E96" s="124" t="s">
        <v>0</v>
      </c>
      <c r="F96" s="129">
        <v>1</v>
      </c>
      <c r="G96" s="130">
        <v>0.77</v>
      </c>
      <c r="H96" s="130"/>
      <c r="I96" s="130">
        <v>1.1100000000000001</v>
      </c>
      <c r="J96" s="129">
        <v>1</v>
      </c>
      <c r="K96" s="7"/>
      <c r="L96" s="7">
        <f t="shared" si="5"/>
        <v>0.85470000000000013</v>
      </c>
      <c r="M96" s="180"/>
      <c r="N96" s="180"/>
      <c r="O96" s="180"/>
      <c r="P96" s="180"/>
    </row>
    <row r="97" spans="1:16" s="170" customFormat="1" x14ac:dyDescent="0.3">
      <c r="C97" s="176"/>
      <c r="D97" s="4" t="s">
        <v>345</v>
      </c>
      <c r="E97" s="124" t="s">
        <v>0</v>
      </c>
      <c r="F97" s="129">
        <v>1</v>
      </c>
      <c r="G97" s="130">
        <v>0.8</v>
      </c>
      <c r="H97" s="130"/>
      <c r="I97" s="130">
        <v>0.94</v>
      </c>
      <c r="J97" s="129">
        <v>1</v>
      </c>
      <c r="K97" s="7"/>
      <c r="L97" s="7">
        <f t="shared" si="5"/>
        <v>0.752</v>
      </c>
      <c r="M97" s="180"/>
      <c r="N97" s="180"/>
      <c r="O97" s="180"/>
      <c r="P97" s="180"/>
    </row>
    <row r="98" spans="1:16" s="170" customFormat="1" x14ac:dyDescent="0.3">
      <c r="C98" s="176"/>
      <c r="D98" s="4" t="s">
        <v>346</v>
      </c>
      <c r="E98" s="124" t="s">
        <v>0</v>
      </c>
      <c r="F98" s="129">
        <v>1</v>
      </c>
      <c r="G98" s="130">
        <v>0.75</v>
      </c>
      <c r="H98" s="130"/>
      <c r="I98" s="130">
        <v>0.81</v>
      </c>
      <c r="J98" s="129">
        <v>1</v>
      </c>
      <c r="K98" s="7"/>
      <c r="L98" s="7">
        <f t="shared" si="5"/>
        <v>0.60750000000000004</v>
      </c>
      <c r="M98" s="180"/>
      <c r="N98" s="180"/>
      <c r="O98" s="180"/>
      <c r="P98" s="180"/>
    </row>
    <row r="99" spans="1:16" s="170" customFormat="1" x14ac:dyDescent="0.3">
      <c r="C99" s="176"/>
      <c r="D99" s="4" t="s">
        <v>347</v>
      </c>
      <c r="E99" s="124" t="s">
        <v>0</v>
      </c>
      <c r="F99" s="129">
        <v>1</v>
      </c>
      <c r="G99" s="130">
        <v>0.75</v>
      </c>
      <c r="H99" s="130"/>
      <c r="I99" s="130">
        <v>0.68</v>
      </c>
      <c r="J99" s="129">
        <v>1</v>
      </c>
      <c r="K99" s="7"/>
      <c r="L99" s="7">
        <f t="shared" si="5"/>
        <v>0.51</v>
      </c>
      <c r="M99" s="180"/>
      <c r="N99" s="180"/>
      <c r="O99" s="180"/>
      <c r="P99" s="180"/>
    </row>
    <row r="100" spans="1:16" s="170" customFormat="1" x14ac:dyDescent="0.3">
      <c r="C100" s="176"/>
      <c r="D100" s="4" t="s">
        <v>328</v>
      </c>
      <c r="E100" s="124" t="s">
        <v>0</v>
      </c>
      <c r="F100" s="129">
        <v>1</v>
      </c>
      <c r="G100" s="130">
        <v>1.78</v>
      </c>
      <c r="H100" s="130"/>
      <c r="I100" s="130">
        <v>0.41</v>
      </c>
      <c r="J100" s="129">
        <v>1</v>
      </c>
      <c r="K100" s="7"/>
      <c r="L100" s="7">
        <f t="shared" si="5"/>
        <v>0.7298</v>
      </c>
      <c r="M100" s="180"/>
      <c r="N100" s="180"/>
      <c r="O100" s="180"/>
      <c r="P100" s="180"/>
    </row>
    <row r="101" spans="1:16" s="170" customFormat="1" x14ac:dyDescent="0.3">
      <c r="C101" s="171"/>
      <c r="D101" s="212" t="s">
        <v>287</v>
      </c>
      <c r="E101" s="173"/>
      <c r="F101" s="174"/>
      <c r="G101" s="213"/>
      <c r="H101" s="213"/>
      <c r="I101" s="213"/>
      <c r="J101" s="211"/>
      <c r="K101" s="175"/>
      <c r="L101" s="175"/>
      <c r="M101" s="175"/>
      <c r="N101" s="175"/>
      <c r="O101" s="175"/>
      <c r="P101" s="175"/>
    </row>
    <row r="102" spans="1:16" s="170" customFormat="1" x14ac:dyDescent="0.3">
      <c r="C102" s="181"/>
      <c r="D102" s="210" t="s">
        <v>333</v>
      </c>
      <c r="E102" s="193"/>
      <c r="F102" s="160"/>
      <c r="G102" s="191"/>
      <c r="H102" s="191"/>
      <c r="I102" s="191"/>
      <c r="J102" s="190"/>
      <c r="K102" s="180"/>
      <c r="L102" s="180"/>
      <c r="M102" s="180"/>
      <c r="N102" s="180"/>
      <c r="O102" s="180"/>
      <c r="P102" s="180"/>
    </row>
    <row r="103" spans="1:16" s="170" customFormat="1" x14ac:dyDescent="0.3">
      <c r="C103" s="214"/>
      <c r="D103" s="127" t="s">
        <v>348</v>
      </c>
      <c r="E103" s="128" t="s">
        <v>0</v>
      </c>
      <c r="F103" s="129">
        <v>1</v>
      </c>
      <c r="G103" s="130">
        <v>16.23</v>
      </c>
      <c r="H103" s="130"/>
      <c r="I103" s="130">
        <v>3.05</v>
      </c>
      <c r="J103" s="129">
        <v>1</v>
      </c>
      <c r="K103" s="130"/>
      <c r="L103" s="130">
        <f>IF(F103="","",PRODUCT(F103:J103))</f>
        <v>49.5015</v>
      </c>
      <c r="M103" s="195"/>
      <c r="N103" s="195"/>
      <c r="O103" s="195"/>
      <c r="P103" s="195"/>
    </row>
    <row r="104" spans="1:16" s="170" customFormat="1" x14ac:dyDescent="0.3">
      <c r="C104" s="214"/>
      <c r="D104" s="127" t="s">
        <v>349</v>
      </c>
      <c r="E104" s="128" t="s">
        <v>0</v>
      </c>
      <c r="F104" s="129">
        <v>1</v>
      </c>
      <c r="G104" s="130">
        <v>3</v>
      </c>
      <c r="H104" s="130"/>
      <c r="I104" s="130">
        <v>3.05</v>
      </c>
      <c r="J104" s="129">
        <v>1</v>
      </c>
      <c r="K104" s="130"/>
      <c r="L104" s="130">
        <f>IF(F104="","",PRODUCT(F104:J104))</f>
        <v>9.1499999999999986</v>
      </c>
      <c r="M104" s="195"/>
      <c r="N104" s="195"/>
      <c r="O104" s="195"/>
      <c r="P104" s="195"/>
    </row>
    <row r="105" spans="1:16" s="170" customFormat="1" x14ac:dyDescent="0.3">
      <c r="C105" s="176"/>
      <c r="D105" s="201"/>
      <c r="E105" s="209"/>
      <c r="F105" s="158"/>
      <c r="G105" s="159"/>
      <c r="H105" s="159"/>
      <c r="I105" s="159"/>
      <c r="J105" s="190"/>
      <c r="K105" s="180"/>
      <c r="L105" s="180"/>
      <c r="M105" s="180"/>
      <c r="N105" s="180"/>
      <c r="O105" s="180"/>
      <c r="P105" s="180"/>
    </row>
    <row r="106" spans="1:16" s="170" customFormat="1" x14ac:dyDescent="0.3">
      <c r="A106" s="170">
        <v>3</v>
      </c>
      <c r="C106" s="99" t="s">
        <v>1182</v>
      </c>
      <c r="D106" s="100" t="s">
        <v>520</v>
      </c>
      <c r="E106" s="209" t="s">
        <v>0</v>
      </c>
      <c r="F106" s="158"/>
      <c r="G106" s="159"/>
      <c r="H106" s="159"/>
      <c r="I106" s="159"/>
      <c r="J106" s="211"/>
      <c r="K106" s="175"/>
      <c r="L106" s="175"/>
      <c r="M106" s="175"/>
      <c r="N106" s="175"/>
      <c r="O106" s="175"/>
      <c r="P106" s="175">
        <f>SUM(L106:L167)</f>
        <v>240.15209999999999</v>
      </c>
    </row>
    <row r="107" spans="1:16" s="217" customFormat="1" x14ac:dyDescent="0.2">
      <c r="A107" s="215"/>
      <c r="B107" s="216"/>
      <c r="C107" s="181"/>
      <c r="D107" s="201" t="s">
        <v>123</v>
      </c>
      <c r="E107" s="193"/>
      <c r="F107" s="160"/>
      <c r="G107" s="191" t="s">
        <v>198</v>
      </c>
      <c r="H107" s="191"/>
      <c r="I107" s="191"/>
      <c r="J107" s="190"/>
      <c r="K107" s="180"/>
      <c r="L107" s="180"/>
      <c r="M107" s="180"/>
      <c r="N107" s="180"/>
      <c r="O107" s="180"/>
      <c r="P107" s="180"/>
    </row>
    <row r="108" spans="1:16" s="217" customFormat="1" x14ac:dyDescent="0.2">
      <c r="A108" s="215"/>
      <c r="B108" s="216"/>
      <c r="C108" s="183"/>
      <c r="D108" s="218" t="s">
        <v>306</v>
      </c>
      <c r="E108" s="193"/>
      <c r="F108" s="160"/>
      <c r="G108" s="191"/>
      <c r="H108" s="191"/>
      <c r="I108" s="191"/>
      <c r="J108" s="190"/>
      <c r="K108" s="180"/>
      <c r="L108" s="180"/>
      <c r="M108" s="188"/>
      <c r="N108" s="188"/>
      <c r="O108" s="188"/>
      <c r="P108" s="188"/>
    </row>
    <row r="109" spans="1:16" s="217" customFormat="1" x14ac:dyDescent="0.2">
      <c r="A109" s="215"/>
      <c r="B109" s="216"/>
      <c r="C109" s="183"/>
      <c r="D109" s="134" t="s">
        <v>350</v>
      </c>
      <c r="E109" s="124" t="s">
        <v>0</v>
      </c>
      <c r="F109" s="5">
        <v>1</v>
      </c>
      <c r="G109" s="6">
        <v>0.7</v>
      </c>
      <c r="H109" s="6"/>
      <c r="I109" s="6">
        <f>3.1-0.73</f>
        <v>2.37</v>
      </c>
      <c r="J109" s="5">
        <v>1</v>
      </c>
      <c r="K109" s="7"/>
      <c r="L109" s="7">
        <f t="shared" ref="L109:L117" si="6">IF(F109="","",PRODUCT(F109:J109))</f>
        <v>1.659</v>
      </c>
      <c r="M109" s="188"/>
      <c r="N109" s="188"/>
      <c r="O109" s="188"/>
      <c r="P109" s="188"/>
    </row>
    <row r="110" spans="1:16" s="217" customFormat="1" x14ac:dyDescent="0.2">
      <c r="A110" s="215"/>
      <c r="B110" s="216"/>
      <c r="C110" s="183"/>
      <c r="D110" s="134" t="s">
        <v>351</v>
      </c>
      <c r="E110" s="124" t="s">
        <v>0</v>
      </c>
      <c r="F110" s="5">
        <v>1</v>
      </c>
      <c r="G110" s="6">
        <v>0.35</v>
      </c>
      <c r="H110" s="6"/>
      <c r="I110" s="6">
        <v>2.19</v>
      </c>
      <c r="J110" s="5">
        <v>1</v>
      </c>
      <c r="K110" s="7"/>
      <c r="L110" s="7">
        <f t="shared" si="6"/>
        <v>0.76649999999999996</v>
      </c>
      <c r="M110" s="188"/>
      <c r="N110" s="188"/>
      <c r="O110" s="188"/>
      <c r="P110" s="188"/>
    </row>
    <row r="111" spans="1:16" s="217" customFormat="1" x14ac:dyDescent="0.2">
      <c r="A111" s="215"/>
      <c r="B111" s="216"/>
      <c r="C111" s="183"/>
      <c r="D111" s="134" t="s">
        <v>352</v>
      </c>
      <c r="E111" s="124" t="s">
        <v>0</v>
      </c>
      <c r="F111" s="5">
        <v>1</v>
      </c>
      <c r="G111" s="6">
        <v>0.35</v>
      </c>
      <c r="H111" s="6"/>
      <c r="I111" s="6">
        <v>2.06</v>
      </c>
      <c r="J111" s="5">
        <v>1</v>
      </c>
      <c r="K111" s="7"/>
      <c r="L111" s="7">
        <f t="shared" si="6"/>
        <v>0.72099999999999997</v>
      </c>
      <c r="M111" s="188"/>
      <c r="N111" s="188"/>
      <c r="O111" s="188"/>
      <c r="P111" s="188"/>
    </row>
    <row r="112" spans="1:16" s="217" customFormat="1" x14ac:dyDescent="0.2">
      <c r="A112" s="215"/>
      <c r="B112" s="216"/>
      <c r="C112" s="183"/>
      <c r="D112" s="134" t="s">
        <v>353</v>
      </c>
      <c r="E112" s="124" t="s">
        <v>0</v>
      </c>
      <c r="F112" s="5">
        <v>1</v>
      </c>
      <c r="G112" s="6">
        <v>0.6</v>
      </c>
      <c r="H112" s="6"/>
      <c r="I112" s="6">
        <v>1.91</v>
      </c>
      <c r="J112" s="5">
        <v>1</v>
      </c>
      <c r="K112" s="7"/>
      <c r="L112" s="7">
        <f t="shared" si="6"/>
        <v>1.1459999999999999</v>
      </c>
      <c r="M112" s="188"/>
      <c r="N112" s="188"/>
      <c r="O112" s="188"/>
      <c r="P112" s="188"/>
    </row>
    <row r="113" spans="1:16" s="217" customFormat="1" x14ac:dyDescent="0.2">
      <c r="A113" s="215"/>
      <c r="B113" s="216"/>
      <c r="C113" s="183"/>
      <c r="D113" s="134" t="s">
        <v>354</v>
      </c>
      <c r="E113" s="124" t="s">
        <v>0</v>
      </c>
      <c r="F113" s="5">
        <v>1</v>
      </c>
      <c r="G113" s="6">
        <v>0.35</v>
      </c>
      <c r="H113" s="6"/>
      <c r="I113" s="6">
        <v>1.76</v>
      </c>
      <c r="J113" s="5">
        <v>1</v>
      </c>
      <c r="K113" s="7"/>
      <c r="L113" s="7">
        <f t="shared" si="6"/>
        <v>0.61599999999999999</v>
      </c>
      <c r="M113" s="188"/>
      <c r="N113" s="188"/>
      <c r="O113" s="188"/>
      <c r="P113" s="188"/>
    </row>
    <row r="114" spans="1:16" s="217" customFormat="1" x14ac:dyDescent="0.2">
      <c r="A114" s="215"/>
      <c r="B114" s="216"/>
      <c r="C114" s="183"/>
      <c r="D114" s="134" t="s">
        <v>355</v>
      </c>
      <c r="E114" s="124" t="s">
        <v>0</v>
      </c>
      <c r="F114" s="5">
        <v>1</v>
      </c>
      <c r="G114" s="6">
        <v>0.35</v>
      </c>
      <c r="H114" s="6"/>
      <c r="I114" s="6">
        <v>1.63</v>
      </c>
      <c r="J114" s="5">
        <v>1</v>
      </c>
      <c r="K114" s="7"/>
      <c r="L114" s="7">
        <f t="shared" si="6"/>
        <v>0.5704999999999999</v>
      </c>
      <c r="M114" s="188"/>
      <c r="N114" s="188"/>
      <c r="O114" s="188"/>
      <c r="P114" s="188"/>
    </row>
    <row r="115" spans="1:16" s="217" customFormat="1" x14ac:dyDescent="0.2">
      <c r="A115" s="215"/>
      <c r="B115" s="216"/>
      <c r="C115" s="183"/>
      <c r="D115" s="134" t="s">
        <v>356</v>
      </c>
      <c r="E115" s="124" t="s">
        <v>0</v>
      </c>
      <c r="F115" s="5">
        <v>1</v>
      </c>
      <c r="G115" s="6">
        <v>0.35</v>
      </c>
      <c r="H115" s="6"/>
      <c r="I115" s="6">
        <v>1.5</v>
      </c>
      <c r="J115" s="5">
        <v>1</v>
      </c>
      <c r="K115" s="7"/>
      <c r="L115" s="7">
        <f t="shared" si="6"/>
        <v>0.52499999999999991</v>
      </c>
      <c r="M115" s="188"/>
      <c r="N115" s="188"/>
      <c r="O115" s="188"/>
      <c r="P115" s="188"/>
    </row>
    <row r="116" spans="1:16" s="217" customFormat="1" x14ac:dyDescent="0.2">
      <c r="A116" s="215"/>
      <c r="B116" s="216"/>
      <c r="C116" s="183"/>
      <c r="D116" s="134" t="s">
        <v>357</v>
      </c>
      <c r="E116" s="124" t="s">
        <v>0</v>
      </c>
      <c r="F116" s="5">
        <v>1</v>
      </c>
      <c r="G116" s="6">
        <v>0.83</v>
      </c>
      <c r="H116" s="6"/>
      <c r="I116" s="6">
        <v>1.34</v>
      </c>
      <c r="J116" s="5">
        <v>1</v>
      </c>
      <c r="K116" s="7"/>
      <c r="L116" s="7">
        <f t="shared" si="6"/>
        <v>1.1122000000000001</v>
      </c>
      <c r="M116" s="188"/>
      <c r="N116" s="188"/>
      <c r="O116" s="188"/>
      <c r="P116" s="188"/>
    </row>
    <row r="117" spans="1:16" s="217" customFormat="1" x14ac:dyDescent="0.2">
      <c r="A117" s="215"/>
      <c r="B117" s="216"/>
      <c r="C117" s="183"/>
      <c r="D117" s="134" t="s">
        <v>358</v>
      </c>
      <c r="E117" s="124" t="s">
        <v>0</v>
      </c>
      <c r="F117" s="5">
        <v>1</v>
      </c>
      <c r="G117" s="6">
        <v>0.35</v>
      </c>
      <c r="H117" s="6"/>
      <c r="I117" s="6">
        <v>1.24</v>
      </c>
      <c r="J117" s="5">
        <v>1</v>
      </c>
      <c r="K117" s="7"/>
      <c r="L117" s="7">
        <f t="shared" si="6"/>
        <v>0.434</v>
      </c>
      <c r="M117" s="188"/>
      <c r="N117" s="188"/>
      <c r="O117" s="188"/>
      <c r="P117" s="188"/>
    </row>
    <row r="118" spans="1:16" s="217" customFormat="1" x14ac:dyDescent="0.2">
      <c r="A118" s="215"/>
      <c r="B118" s="216"/>
      <c r="C118" s="183"/>
      <c r="D118" s="201" t="s">
        <v>127</v>
      </c>
      <c r="E118" s="193"/>
      <c r="F118" s="160"/>
      <c r="G118" s="191" t="s">
        <v>198</v>
      </c>
      <c r="H118" s="191"/>
      <c r="I118" s="191"/>
      <c r="J118" s="190"/>
      <c r="K118" s="180"/>
      <c r="L118" s="180"/>
      <c r="M118" s="188"/>
      <c r="N118" s="188"/>
      <c r="O118" s="188"/>
      <c r="P118" s="188"/>
    </row>
    <row r="119" spans="1:16" s="217" customFormat="1" x14ac:dyDescent="0.2">
      <c r="A119" s="215"/>
      <c r="B119" s="216"/>
      <c r="C119" s="181"/>
      <c r="D119" s="218" t="s">
        <v>308</v>
      </c>
      <c r="E119" s="193"/>
      <c r="F119" s="160"/>
      <c r="G119" s="191"/>
      <c r="H119" s="191"/>
      <c r="I119" s="191"/>
      <c r="J119" s="190"/>
      <c r="K119" s="180"/>
      <c r="L119" s="180"/>
      <c r="M119" s="180"/>
      <c r="N119" s="180"/>
      <c r="O119" s="180"/>
      <c r="P119" s="180"/>
    </row>
    <row r="120" spans="1:16" s="170" customFormat="1" x14ac:dyDescent="0.3">
      <c r="C120" s="183"/>
      <c r="D120" s="134" t="s">
        <v>359</v>
      </c>
      <c r="E120" s="124" t="s">
        <v>0</v>
      </c>
      <c r="F120" s="5">
        <v>1</v>
      </c>
      <c r="G120" s="6">
        <f>1-0.1</f>
        <v>0.9</v>
      </c>
      <c r="H120" s="6"/>
      <c r="I120" s="6">
        <v>3.05</v>
      </c>
      <c r="J120" s="5">
        <v>1</v>
      </c>
      <c r="K120" s="7"/>
      <c r="L120" s="7">
        <f>IF(F120="","",PRODUCT(F120:J120))</f>
        <v>2.7450000000000001</v>
      </c>
      <c r="M120" s="188"/>
      <c r="N120" s="188"/>
      <c r="O120" s="188"/>
      <c r="P120" s="188"/>
    </row>
    <row r="121" spans="1:16" s="170" customFormat="1" x14ac:dyDescent="0.3">
      <c r="C121" s="183"/>
      <c r="D121" s="134" t="s">
        <v>360</v>
      </c>
      <c r="E121" s="124" t="s">
        <v>0</v>
      </c>
      <c r="F121" s="5">
        <v>1</v>
      </c>
      <c r="G121" s="6">
        <v>0.35</v>
      </c>
      <c r="H121" s="6"/>
      <c r="I121" s="6">
        <v>3.05</v>
      </c>
      <c r="J121" s="5">
        <v>1</v>
      </c>
      <c r="K121" s="7"/>
      <c r="L121" s="7">
        <f t="shared" ref="L121:L132" si="7">IF(F121="","",PRODUCT(F121:J121))</f>
        <v>1.0674999999999999</v>
      </c>
      <c r="M121" s="188"/>
      <c r="N121" s="188"/>
      <c r="O121" s="188"/>
      <c r="P121" s="188"/>
    </row>
    <row r="122" spans="1:16" s="170" customFormat="1" x14ac:dyDescent="0.3">
      <c r="C122" s="183"/>
      <c r="D122" s="134" t="s">
        <v>361</v>
      </c>
      <c r="E122" s="124" t="s">
        <v>0</v>
      </c>
      <c r="F122" s="5">
        <v>1</v>
      </c>
      <c r="G122" s="6">
        <v>0.35</v>
      </c>
      <c r="H122" s="6"/>
      <c r="I122" s="6">
        <v>3.05</v>
      </c>
      <c r="J122" s="5">
        <v>1</v>
      </c>
      <c r="K122" s="7"/>
      <c r="L122" s="7">
        <f t="shared" si="7"/>
        <v>1.0674999999999999</v>
      </c>
      <c r="M122" s="188"/>
      <c r="N122" s="188"/>
      <c r="O122" s="188"/>
      <c r="P122" s="188"/>
    </row>
    <row r="123" spans="1:16" s="170" customFormat="1" x14ac:dyDescent="0.3">
      <c r="C123" s="183"/>
      <c r="D123" s="134" t="s">
        <v>362</v>
      </c>
      <c r="E123" s="124" t="s">
        <v>0</v>
      </c>
      <c r="F123" s="5">
        <v>1</v>
      </c>
      <c r="G123" s="6">
        <v>1.05</v>
      </c>
      <c r="H123" s="6"/>
      <c r="I123" s="6">
        <v>3.05</v>
      </c>
      <c r="J123" s="5">
        <v>1</v>
      </c>
      <c r="K123" s="7"/>
      <c r="L123" s="7">
        <f t="shared" si="7"/>
        <v>3.2025000000000001</v>
      </c>
      <c r="M123" s="188"/>
      <c r="N123" s="188"/>
      <c r="O123" s="188"/>
      <c r="P123" s="188"/>
    </row>
    <row r="124" spans="1:16" s="170" customFormat="1" x14ac:dyDescent="0.3">
      <c r="C124" s="183"/>
      <c r="D124" s="134" t="s">
        <v>363</v>
      </c>
      <c r="E124" s="124" t="s">
        <v>0</v>
      </c>
      <c r="F124" s="5">
        <v>1</v>
      </c>
      <c r="G124" s="6">
        <v>0.89</v>
      </c>
      <c r="H124" s="6"/>
      <c r="I124" s="6">
        <v>3.05</v>
      </c>
      <c r="J124" s="5">
        <v>1</v>
      </c>
      <c r="K124" s="7"/>
      <c r="L124" s="7">
        <f t="shared" si="7"/>
        <v>2.7144999999999997</v>
      </c>
      <c r="M124" s="188"/>
      <c r="N124" s="188"/>
      <c r="O124" s="188"/>
      <c r="P124" s="188"/>
    </row>
    <row r="125" spans="1:16" s="170" customFormat="1" x14ac:dyDescent="0.3">
      <c r="C125" s="183"/>
      <c r="D125" s="134" t="s">
        <v>357</v>
      </c>
      <c r="E125" s="124" t="s">
        <v>0</v>
      </c>
      <c r="F125" s="5">
        <v>1</v>
      </c>
      <c r="G125" s="6">
        <v>0.89</v>
      </c>
      <c r="H125" s="6"/>
      <c r="I125" s="6">
        <v>3.05</v>
      </c>
      <c r="J125" s="5">
        <v>1</v>
      </c>
      <c r="K125" s="7"/>
      <c r="L125" s="7">
        <f t="shared" si="7"/>
        <v>2.7144999999999997</v>
      </c>
      <c r="M125" s="188"/>
      <c r="N125" s="188"/>
      <c r="O125" s="188"/>
      <c r="P125" s="188"/>
    </row>
    <row r="126" spans="1:16" s="170" customFormat="1" x14ac:dyDescent="0.3">
      <c r="C126" s="183"/>
      <c r="D126" s="134" t="s">
        <v>353</v>
      </c>
      <c r="E126" s="124" t="s">
        <v>0</v>
      </c>
      <c r="F126" s="5">
        <v>1</v>
      </c>
      <c r="G126" s="6">
        <v>1.05</v>
      </c>
      <c r="H126" s="6"/>
      <c r="I126" s="6">
        <v>3.05</v>
      </c>
      <c r="J126" s="5">
        <v>1</v>
      </c>
      <c r="K126" s="7"/>
      <c r="L126" s="7">
        <f t="shared" si="7"/>
        <v>3.2025000000000001</v>
      </c>
      <c r="M126" s="188"/>
      <c r="N126" s="188"/>
      <c r="O126" s="188"/>
      <c r="P126" s="188"/>
    </row>
    <row r="127" spans="1:16" s="170" customFormat="1" x14ac:dyDescent="0.3">
      <c r="C127" s="183"/>
      <c r="D127" s="134" t="s">
        <v>352</v>
      </c>
      <c r="E127" s="124" t="s">
        <v>0</v>
      </c>
      <c r="F127" s="5">
        <v>1</v>
      </c>
      <c r="G127" s="6">
        <v>0.35</v>
      </c>
      <c r="H127" s="6"/>
      <c r="I127" s="6">
        <v>3.05</v>
      </c>
      <c r="J127" s="5">
        <v>1</v>
      </c>
      <c r="K127" s="7"/>
      <c r="L127" s="7">
        <f t="shared" si="7"/>
        <v>1.0674999999999999</v>
      </c>
      <c r="M127" s="188"/>
      <c r="N127" s="188"/>
      <c r="O127" s="188"/>
      <c r="P127" s="188"/>
    </row>
    <row r="128" spans="1:16" s="170" customFormat="1" x14ac:dyDescent="0.3">
      <c r="C128" s="183"/>
      <c r="D128" s="134" t="s">
        <v>351</v>
      </c>
      <c r="E128" s="124" t="s">
        <v>0</v>
      </c>
      <c r="F128" s="5">
        <v>1</v>
      </c>
      <c r="G128" s="6">
        <v>0.35</v>
      </c>
      <c r="H128" s="6"/>
      <c r="I128" s="6">
        <v>3.05</v>
      </c>
      <c r="J128" s="5">
        <v>1</v>
      </c>
      <c r="K128" s="7"/>
      <c r="L128" s="7">
        <f t="shared" si="7"/>
        <v>1.0674999999999999</v>
      </c>
      <c r="M128" s="188"/>
      <c r="N128" s="188"/>
      <c r="O128" s="188"/>
      <c r="P128" s="188"/>
    </row>
    <row r="129" spans="1:16" s="170" customFormat="1" x14ac:dyDescent="0.3">
      <c r="C129" s="183"/>
      <c r="D129" s="134" t="s">
        <v>350</v>
      </c>
      <c r="E129" s="124" t="s">
        <v>0</v>
      </c>
      <c r="F129" s="5">
        <v>1</v>
      </c>
      <c r="G129" s="6">
        <v>0.6</v>
      </c>
      <c r="H129" s="6"/>
      <c r="I129" s="6">
        <v>3.05</v>
      </c>
      <c r="J129" s="5">
        <v>1</v>
      </c>
      <c r="K129" s="7"/>
      <c r="L129" s="7">
        <f t="shared" si="7"/>
        <v>1.8299999999999998</v>
      </c>
      <c r="M129" s="188"/>
      <c r="N129" s="188"/>
      <c r="O129" s="188"/>
      <c r="P129" s="188"/>
    </row>
    <row r="130" spans="1:16" s="170" customFormat="1" x14ac:dyDescent="0.3">
      <c r="C130" s="183"/>
      <c r="D130" s="134" t="s">
        <v>364</v>
      </c>
      <c r="E130" s="124" t="s">
        <v>0</v>
      </c>
      <c r="F130" s="5">
        <v>1</v>
      </c>
      <c r="G130" s="6">
        <v>1.3</v>
      </c>
      <c r="H130" s="6"/>
      <c r="I130" s="6">
        <v>3.05</v>
      </c>
      <c r="J130" s="5">
        <v>1</v>
      </c>
      <c r="K130" s="7"/>
      <c r="L130" s="7">
        <f t="shared" si="7"/>
        <v>3.9649999999999999</v>
      </c>
      <c r="M130" s="188"/>
      <c r="N130" s="188"/>
      <c r="O130" s="188"/>
      <c r="P130" s="188"/>
    </row>
    <row r="131" spans="1:16" s="170" customFormat="1" x14ac:dyDescent="0.3">
      <c r="C131" s="183"/>
      <c r="D131" s="134" t="s">
        <v>365</v>
      </c>
      <c r="E131" s="124" t="s">
        <v>0</v>
      </c>
      <c r="F131" s="5">
        <v>1</v>
      </c>
      <c r="G131" s="6">
        <v>0.35</v>
      </c>
      <c r="H131" s="6"/>
      <c r="I131" s="6">
        <v>3.05</v>
      </c>
      <c r="J131" s="5">
        <v>1</v>
      </c>
      <c r="K131" s="7"/>
      <c r="L131" s="7">
        <f t="shared" si="7"/>
        <v>1.0674999999999999</v>
      </c>
      <c r="M131" s="188"/>
      <c r="N131" s="188"/>
      <c r="O131" s="188"/>
      <c r="P131" s="188"/>
    </row>
    <row r="132" spans="1:16" s="217" customFormat="1" x14ac:dyDescent="0.2">
      <c r="A132" s="215"/>
      <c r="B132" s="216"/>
      <c r="C132" s="183"/>
      <c r="D132" s="134" t="s">
        <v>366</v>
      </c>
      <c r="E132" s="124" t="s">
        <v>0</v>
      </c>
      <c r="F132" s="5">
        <v>1</v>
      </c>
      <c r="G132" s="6">
        <v>1.3</v>
      </c>
      <c r="H132" s="6"/>
      <c r="I132" s="6">
        <v>3.05</v>
      </c>
      <c r="J132" s="5">
        <v>1</v>
      </c>
      <c r="K132" s="7"/>
      <c r="L132" s="7">
        <f t="shared" si="7"/>
        <v>3.9649999999999999</v>
      </c>
      <c r="M132" s="188"/>
      <c r="N132" s="188"/>
      <c r="O132" s="188"/>
      <c r="P132" s="188"/>
    </row>
    <row r="133" spans="1:16" s="217" customFormat="1" x14ac:dyDescent="0.2">
      <c r="A133" s="215"/>
      <c r="B133" s="216"/>
      <c r="C133" s="183"/>
      <c r="D133" s="218" t="s">
        <v>367</v>
      </c>
      <c r="E133" s="193"/>
      <c r="F133" s="160"/>
      <c r="G133" s="191"/>
      <c r="H133" s="191"/>
      <c r="I133" s="191"/>
      <c r="J133" s="190"/>
      <c r="K133" s="180"/>
      <c r="L133" s="180"/>
      <c r="M133" s="188"/>
      <c r="N133" s="188"/>
      <c r="O133" s="188"/>
      <c r="P133" s="188"/>
    </row>
    <row r="134" spans="1:16" s="217" customFormat="1" x14ac:dyDescent="0.2">
      <c r="A134" s="215"/>
      <c r="B134" s="216"/>
      <c r="C134" s="183"/>
      <c r="D134" s="134" t="s">
        <v>368</v>
      </c>
      <c r="E134" s="124" t="s">
        <v>0</v>
      </c>
      <c r="F134" s="5">
        <v>1</v>
      </c>
      <c r="G134" s="6">
        <v>1.1499999999999999</v>
      </c>
      <c r="H134" s="6"/>
      <c r="I134" s="6">
        <v>3.1</v>
      </c>
      <c r="J134" s="125">
        <v>1</v>
      </c>
      <c r="K134" s="7"/>
      <c r="L134" s="7">
        <f>IF(F134="","",PRODUCT(F134:J134))</f>
        <v>3.5649999999999999</v>
      </c>
      <c r="M134" s="188"/>
      <c r="N134" s="188"/>
      <c r="O134" s="188"/>
      <c r="P134" s="188"/>
    </row>
    <row r="135" spans="1:16" s="217" customFormat="1" x14ac:dyDescent="0.2">
      <c r="A135" s="215"/>
      <c r="B135" s="216"/>
      <c r="C135" s="183"/>
      <c r="D135" s="134" t="s">
        <v>369</v>
      </c>
      <c r="E135" s="124" t="s">
        <v>0</v>
      </c>
      <c r="F135" s="5">
        <v>1</v>
      </c>
      <c r="G135" s="6">
        <v>0.4</v>
      </c>
      <c r="H135" s="6"/>
      <c r="I135" s="6">
        <v>3.1</v>
      </c>
      <c r="J135" s="125">
        <v>1</v>
      </c>
      <c r="K135" s="7"/>
      <c r="L135" s="7">
        <f>IF(F135="","",PRODUCT(F135:J135))</f>
        <v>1.2400000000000002</v>
      </c>
      <c r="M135" s="188"/>
      <c r="N135" s="188"/>
      <c r="O135" s="188"/>
      <c r="P135" s="188"/>
    </row>
    <row r="136" spans="1:16" s="217" customFormat="1" x14ac:dyDescent="0.2">
      <c r="A136" s="215"/>
      <c r="B136" s="216"/>
      <c r="C136" s="183"/>
      <c r="D136" s="134" t="s">
        <v>370</v>
      </c>
      <c r="E136" s="124" t="s">
        <v>0</v>
      </c>
      <c r="F136" s="5">
        <v>1</v>
      </c>
      <c r="G136" s="6">
        <v>0.4</v>
      </c>
      <c r="H136" s="6"/>
      <c r="I136" s="6">
        <v>2.7</v>
      </c>
      <c r="J136" s="125">
        <v>1</v>
      </c>
      <c r="K136" s="7"/>
      <c r="L136" s="7">
        <f>IF(F136="","",PRODUCT(F136:J136))</f>
        <v>1.08</v>
      </c>
      <c r="M136" s="188"/>
      <c r="N136" s="188"/>
      <c r="O136" s="188"/>
      <c r="P136" s="188"/>
    </row>
    <row r="137" spans="1:16" s="217" customFormat="1" x14ac:dyDescent="0.2">
      <c r="A137" s="215"/>
      <c r="B137" s="216"/>
      <c r="C137" s="183"/>
      <c r="D137" s="134" t="s">
        <v>371</v>
      </c>
      <c r="E137" s="124" t="s">
        <v>0</v>
      </c>
      <c r="F137" s="5">
        <v>1</v>
      </c>
      <c r="G137" s="6">
        <v>0.1</v>
      </c>
      <c r="H137" s="6"/>
      <c r="I137" s="6">
        <v>2.4</v>
      </c>
      <c r="J137" s="5">
        <v>1</v>
      </c>
      <c r="K137" s="7"/>
      <c r="L137" s="7">
        <f>IF(F137="","",PRODUCT(F137:J137))</f>
        <v>0.24</v>
      </c>
      <c r="M137" s="188"/>
      <c r="N137" s="188"/>
      <c r="O137" s="188"/>
      <c r="P137" s="188"/>
    </row>
    <row r="138" spans="1:16" s="217" customFormat="1" x14ac:dyDescent="0.2">
      <c r="A138" s="215"/>
      <c r="B138" s="216"/>
      <c r="C138" s="183"/>
      <c r="D138" s="201" t="s">
        <v>332</v>
      </c>
      <c r="E138" s="193"/>
      <c r="F138" s="160"/>
      <c r="G138" s="191"/>
      <c r="H138" s="191"/>
      <c r="I138" s="191"/>
      <c r="J138" s="190"/>
      <c r="K138" s="180"/>
      <c r="L138" s="180"/>
      <c r="M138" s="188"/>
      <c r="N138" s="188"/>
      <c r="O138" s="188"/>
      <c r="P138" s="188"/>
    </row>
    <row r="139" spans="1:16" s="217" customFormat="1" x14ac:dyDescent="0.2">
      <c r="A139" s="215"/>
      <c r="B139" s="216"/>
      <c r="C139" s="183"/>
      <c r="D139" s="218" t="s">
        <v>333</v>
      </c>
      <c r="E139" s="193"/>
      <c r="F139" s="160"/>
      <c r="G139" s="191"/>
      <c r="H139" s="191"/>
      <c r="I139" s="191"/>
      <c r="J139" s="190"/>
      <c r="K139" s="180"/>
      <c r="L139" s="180"/>
      <c r="M139" s="188"/>
      <c r="N139" s="188"/>
      <c r="O139" s="188"/>
      <c r="P139" s="188"/>
    </row>
    <row r="140" spans="1:16" s="217" customFormat="1" x14ac:dyDescent="0.2">
      <c r="A140" s="215"/>
      <c r="B140" s="216"/>
      <c r="C140" s="183"/>
      <c r="D140" s="134" t="s">
        <v>372</v>
      </c>
      <c r="E140" s="124" t="s">
        <v>0</v>
      </c>
      <c r="F140" s="5">
        <v>1</v>
      </c>
      <c r="G140" s="6">
        <v>0.35</v>
      </c>
      <c r="H140" s="6"/>
      <c r="I140" s="6">
        <v>0.22</v>
      </c>
      <c r="J140" s="5">
        <v>1</v>
      </c>
      <c r="K140" s="7"/>
      <c r="L140" s="7">
        <f t="shared" ref="L140:L162" si="8">IF(F140="","",PRODUCT(F140:J140))</f>
        <v>7.6999999999999999E-2</v>
      </c>
      <c r="M140" s="188"/>
      <c r="N140" s="188"/>
      <c r="O140" s="188"/>
      <c r="P140" s="188"/>
    </row>
    <row r="141" spans="1:16" s="217" customFormat="1" x14ac:dyDescent="0.2">
      <c r="A141" s="215"/>
      <c r="B141" s="216"/>
      <c r="C141" s="183"/>
      <c r="D141" s="134" t="s">
        <v>370</v>
      </c>
      <c r="E141" s="124" t="s">
        <v>0</v>
      </c>
      <c r="F141" s="5">
        <v>1</v>
      </c>
      <c r="G141" s="6">
        <v>0.4</v>
      </c>
      <c r="H141" s="6"/>
      <c r="I141" s="6">
        <v>0.46</v>
      </c>
      <c r="J141" s="5">
        <v>1</v>
      </c>
      <c r="K141" s="7"/>
      <c r="L141" s="7">
        <f t="shared" si="8"/>
        <v>0.18400000000000002</v>
      </c>
      <c r="M141" s="188"/>
      <c r="N141" s="188"/>
      <c r="O141" s="188"/>
      <c r="P141" s="188"/>
    </row>
    <row r="142" spans="1:16" s="217" customFormat="1" x14ac:dyDescent="0.2">
      <c r="A142" s="215"/>
      <c r="B142" s="216"/>
      <c r="C142" s="183"/>
      <c r="D142" s="134" t="s">
        <v>371</v>
      </c>
      <c r="E142" s="124" t="s">
        <v>0</v>
      </c>
      <c r="F142" s="5">
        <v>1</v>
      </c>
      <c r="G142" s="6">
        <f>0.6+0.35</f>
        <v>0.95</v>
      </c>
      <c r="H142" s="6"/>
      <c r="I142" s="6">
        <v>0.74</v>
      </c>
      <c r="J142" s="5">
        <v>1</v>
      </c>
      <c r="K142" s="7"/>
      <c r="L142" s="7">
        <f t="shared" si="8"/>
        <v>0.70299999999999996</v>
      </c>
      <c r="M142" s="188"/>
      <c r="N142" s="188"/>
      <c r="O142" s="188"/>
      <c r="P142" s="188"/>
    </row>
    <row r="143" spans="1:16" s="217" customFormat="1" x14ac:dyDescent="0.2">
      <c r="A143" s="215"/>
      <c r="B143" s="216"/>
      <c r="C143" s="183"/>
      <c r="D143" s="134" t="s">
        <v>373</v>
      </c>
      <c r="E143" s="124" t="s">
        <v>0</v>
      </c>
      <c r="F143" s="5">
        <v>1</v>
      </c>
      <c r="G143" s="6">
        <v>0.35</v>
      </c>
      <c r="H143" s="6"/>
      <c r="I143" s="6">
        <v>0.89</v>
      </c>
      <c r="J143" s="5">
        <v>1</v>
      </c>
      <c r="K143" s="7"/>
      <c r="L143" s="7">
        <f t="shared" si="8"/>
        <v>0.3115</v>
      </c>
      <c r="M143" s="188"/>
      <c r="N143" s="188"/>
      <c r="O143" s="188"/>
      <c r="P143" s="188"/>
    </row>
    <row r="144" spans="1:16" s="217" customFormat="1" x14ac:dyDescent="0.2">
      <c r="A144" s="215"/>
      <c r="B144" s="216"/>
      <c r="C144" s="183"/>
      <c r="D144" s="134" t="s">
        <v>374</v>
      </c>
      <c r="E144" s="124" t="s">
        <v>0</v>
      </c>
      <c r="F144" s="5">
        <v>1</v>
      </c>
      <c r="G144" s="6">
        <v>0.35</v>
      </c>
      <c r="H144" s="6"/>
      <c r="I144" s="6">
        <v>1</v>
      </c>
      <c r="J144" s="5">
        <v>1</v>
      </c>
      <c r="K144" s="7"/>
      <c r="L144" s="7">
        <f t="shared" si="8"/>
        <v>0.35</v>
      </c>
      <c r="M144" s="188"/>
      <c r="N144" s="188"/>
      <c r="O144" s="188"/>
      <c r="P144" s="188"/>
    </row>
    <row r="145" spans="1:16" s="217" customFormat="1" x14ac:dyDescent="0.2">
      <c r="A145" s="215"/>
      <c r="B145" s="216"/>
      <c r="C145" s="183"/>
      <c r="D145" s="134" t="s">
        <v>375</v>
      </c>
      <c r="E145" s="124" t="s">
        <v>0</v>
      </c>
      <c r="F145" s="5">
        <v>1</v>
      </c>
      <c r="G145" s="6">
        <v>0.6</v>
      </c>
      <c r="H145" s="6"/>
      <c r="I145" s="6">
        <v>1.1499999999999999</v>
      </c>
      <c r="J145" s="5">
        <v>1</v>
      </c>
      <c r="K145" s="7"/>
      <c r="L145" s="7">
        <f t="shared" si="8"/>
        <v>0.69</v>
      </c>
      <c r="M145" s="188"/>
      <c r="N145" s="188"/>
      <c r="O145" s="188"/>
      <c r="P145" s="188"/>
    </row>
    <row r="146" spans="1:16" s="217" customFormat="1" x14ac:dyDescent="0.2">
      <c r="A146" s="215"/>
      <c r="B146" s="216"/>
      <c r="C146" s="183"/>
      <c r="D146" s="134" t="s">
        <v>376</v>
      </c>
      <c r="E146" s="124" t="s">
        <v>0</v>
      </c>
      <c r="F146" s="5">
        <v>1</v>
      </c>
      <c r="G146" s="6">
        <v>0.35</v>
      </c>
      <c r="H146" s="6"/>
      <c r="I146" s="6">
        <v>1.3</v>
      </c>
      <c r="J146" s="5">
        <v>1</v>
      </c>
      <c r="K146" s="7"/>
      <c r="L146" s="7">
        <f t="shared" si="8"/>
        <v>0.45499999999999996</v>
      </c>
      <c r="M146" s="188"/>
      <c r="N146" s="188"/>
      <c r="O146" s="188"/>
      <c r="P146" s="188"/>
    </row>
    <row r="147" spans="1:16" s="217" customFormat="1" x14ac:dyDescent="0.2">
      <c r="A147" s="215"/>
      <c r="B147" s="216"/>
      <c r="C147" s="183"/>
      <c r="D147" s="134" t="s">
        <v>377</v>
      </c>
      <c r="E147" s="124" t="s">
        <v>0</v>
      </c>
      <c r="F147" s="5">
        <v>1</v>
      </c>
      <c r="G147" s="6">
        <v>0.35</v>
      </c>
      <c r="H147" s="6"/>
      <c r="I147" s="6">
        <v>1.43</v>
      </c>
      <c r="J147" s="5">
        <v>1</v>
      </c>
      <c r="K147" s="7"/>
      <c r="L147" s="7">
        <f t="shared" si="8"/>
        <v>0.50049999999999994</v>
      </c>
      <c r="M147" s="188"/>
      <c r="N147" s="188"/>
      <c r="O147" s="188"/>
      <c r="P147" s="188"/>
    </row>
    <row r="148" spans="1:16" s="217" customFormat="1" x14ac:dyDescent="0.2">
      <c r="A148" s="215"/>
      <c r="B148" s="216"/>
      <c r="C148" s="183"/>
      <c r="D148" s="134" t="s">
        <v>378</v>
      </c>
      <c r="E148" s="124" t="s">
        <v>0</v>
      </c>
      <c r="F148" s="5">
        <v>1</v>
      </c>
      <c r="G148" s="6">
        <v>0.35</v>
      </c>
      <c r="H148" s="6"/>
      <c r="I148" s="6">
        <v>1.56</v>
      </c>
      <c r="J148" s="5">
        <v>1</v>
      </c>
      <c r="K148" s="7"/>
      <c r="L148" s="7">
        <f t="shared" si="8"/>
        <v>0.54599999999999993</v>
      </c>
      <c r="M148" s="188"/>
      <c r="N148" s="188"/>
      <c r="O148" s="188"/>
      <c r="P148" s="188"/>
    </row>
    <row r="149" spans="1:16" s="217" customFormat="1" x14ac:dyDescent="0.2">
      <c r="A149" s="215"/>
      <c r="B149" s="216"/>
      <c r="C149" s="183"/>
      <c r="D149" s="134" t="s">
        <v>379</v>
      </c>
      <c r="E149" s="124" t="s">
        <v>0</v>
      </c>
      <c r="F149" s="5">
        <v>1</v>
      </c>
      <c r="G149" s="6">
        <v>0.83</v>
      </c>
      <c r="H149" s="6"/>
      <c r="I149" s="6">
        <v>1.71</v>
      </c>
      <c r="J149" s="125">
        <v>1</v>
      </c>
      <c r="K149" s="7"/>
      <c r="L149" s="7">
        <f t="shared" si="8"/>
        <v>1.4193</v>
      </c>
      <c r="M149" s="188"/>
      <c r="N149" s="188"/>
      <c r="O149" s="188"/>
      <c r="P149" s="188"/>
    </row>
    <row r="150" spans="1:16" s="217" customFormat="1" x14ac:dyDescent="0.2">
      <c r="A150" s="215"/>
      <c r="B150" s="216"/>
      <c r="C150" s="183"/>
      <c r="D150" s="134" t="s">
        <v>380</v>
      </c>
      <c r="E150" s="124" t="s">
        <v>0</v>
      </c>
      <c r="F150" s="5">
        <v>1</v>
      </c>
      <c r="G150" s="6">
        <v>0.35</v>
      </c>
      <c r="H150" s="6"/>
      <c r="I150" s="6">
        <v>1.91</v>
      </c>
      <c r="J150" s="125">
        <v>1</v>
      </c>
      <c r="K150" s="7"/>
      <c r="L150" s="7">
        <f t="shared" si="8"/>
        <v>0.66849999999999998</v>
      </c>
      <c r="M150" s="188"/>
      <c r="N150" s="188"/>
      <c r="O150" s="188"/>
      <c r="P150" s="188"/>
    </row>
    <row r="151" spans="1:16" s="217" customFormat="1" x14ac:dyDescent="0.2">
      <c r="A151" s="215"/>
      <c r="B151" s="216"/>
      <c r="C151" s="183"/>
      <c r="D151" s="134" t="s">
        <v>381</v>
      </c>
      <c r="E151" s="124" t="s">
        <v>0</v>
      </c>
      <c r="F151" s="5">
        <v>1</v>
      </c>
      <c r="G151" s="6">
        <v>0.35</v>
      </c>
      <c r="H151" s="6"/>
      <c r="I151" s="6">
        <v>2.0699999999999998</v>
      </c>
      <c r="J151" s="125">
        <v>1</v>
      </c>
      <c r="K151" s="7"/>
      <c r="L151" s="7">
        <f t="shared" si="8"/>
        <v>0.72449999999999992</v>
      </c>
      <c r="M151" s="188"/>
      <c r="N151" s="188"/>
      <c r="O151" s="188"/>
      <c r="P151" s="188"/>
    </row>
    <row r="152" spans="1:16" s="217" customFormat="1" x14ac:dyDescent="0.2">
      <c r="A152" s="215"/>
      <c r="B152" s="216"/>
      <c r="C152" s="183"/>
      <c r="D152" s="134" t="s">
        <v>382</v>
      </c>
      <c r="E152" s="124" t="s">
        <v>0</v>
      </c>
      <c r="F152" s="5">
        <v>1</v>
      </c>
      <c r="G152" s="6">
        <v>0.83</v>
      </c>
      <c r="H152" s="6"/>
      <c r="I152" s="6">
        <v>2.27</v>
      </c>
      <c r="J152" s="5">
        <v>1</v>
      </c>
      <c r="K152" s="7"/>
      <c r="L152" s="7">
        <f t="shared" si="8"/>
        <v>1.8840999999999999</v>
      </c>
      <c r="M152" s="188"/>
      <c r="N152" s="188"/>
      <c r="O152" s="188"/>
      <c r="P152" s="188"/>
    </row>
    <row r="153" spans="1:16" s="217" customFormat="1" x14ac:dyDescent="0.2">
      <c r="A153" s="215"/>
      <c r="B153" s="216"/>
      <c r="C153" s="183"/>
      <c r="D153" s="134" t="s">
        <v>383</v>
      </c>
      <c r="E153" s="124" t="s">
        <v>0</v>
      </c>
      <c r="F153" s="5">
        <v>1</v>
      </c>
      <c r="G153" s="6">
        <v>0.35</v>
      </c>
      <c r="H153" s="6"/>
      <c r="I153" s="6">
        <v>2.4300000000000002</v>
      </c>
      <c r="J153" s="5">
        <v>1</v>
      </c>
      <c r="K153" s="7"/>
      <c r="L153" s="7">
        <f t="shared" si="8"/>
        <v>0.85050000000000003</v>
      </c>
      <c r="M153" s="188"/>
      <c r="N153" s="188"/>
      <c r="O153" s="188"/>
      <c r="P153" s="188"/>
    </row>
    <row r="154" spans="1:16" s="217" customFormat="1" x14ac:dyDescent="0.2">
      <c r="A154" s="215"/>
      <c r="B154" s="216"/>
      <c r="C154" s="183"/>
      <c r="D154" s="134" t="s">
        <v>384</v>
      </c>
      <c r="E154" s="124" t="s">
        <v>0</v>
      </c>
      <c r="F154" s="5">
        <v>1</v>
      </c>
      <c r="G154" s="6">
        <v>0.35</v>
      </c>
      <c r="H154" s="6"/>
      <c r="I154" s="6">
        <v>2.56</v>
      </c>
      <c r="J154" s="5">
        <v>1</v>
      </c>
      <c r="K154" s="7"/>
      <c r="L154" s="7">
        <f t="shared" si="8"/>
        <v>0.89599999999999991</v>
      </c>
      <c r="M154" s="188"/>
      <c r="N154" s="188"/>
      <c r="O154" s="188"/>
      <c r="P154" s="188"/>
    </row>
    <row r="155" spans="1:16" s="217" customFormat="1" x14ac:dyDescent="0.2">
      <c r="A155" s="215"/>
      <c r="B155" s="216"/>
      <c r="C155" s="183"/>
      <c r="D155" s="134" t="s">
        <v>385</v>
      </c>
      <c r="E155" s="124" t="s">
        <v>0</v>
      </c>
      <c r="F155" s="5">
        <v>1</v>
      </c>
      <c r="G155" s="6">
        <v>0.35</v>
      </c>
      <c r="H155" s="6"/>
      <c r="I155" s="6">
        <v>2.69</v>
      </c>
      <c r="J155" s="5">
        <v>1</v>
      </c>
      <c r="K155" s="7"/>
      <c r="L155" s="7">
        <f t="shared" si="8"/>
        <v>0.94149999999999989</v>
      </c>
      <c r="M155" s="188"/>
      <c r="N155" s="188"/>
      <c r="O155" s="188"/>
      <c r="P155" s="188"/>
    </row>
    <row r="156" spans="1:16" s="217" customFormat="1" x14ac:dyDescent="0.2">
      <c r="A156" s="215"/>
      <c r="B156" s="216"/>
      <c r="C156" s="183"/>
      <c r="D156" s="134" t="s">
        <v>386</v>
      </c>
      <c r="E156" s="124" t="s">
        <v>0</v>
      </c>
      <c r="F156" s="5">
        <v>1</v>
      </c>
      <c r="G156" s="6">
        <v>0.6</v>
      </c>
      <c r="H156" s="6"/>
      <c r="I156" s="6">
        <v>2.84</v>
      </c>
      <c r="J156" s="125">
        <v>1</v>
      </c>
      <c r="K156" s="7"/>
      <c r="L156" s="7">
        <f t="shared" si="8"/>
        <v>1.704</v>
      </c>
      <c r="M156" s="188"/>
      <c r="N156" s="188"/>
      <c r="O156" s="188"/>
      <c r="P156" s="188"/>
    </row>
    <row r="157" spans="1:16" s="217" customFormat="1" x14ac:dyDescent="0.2">
      <c r="A157" s="215"/>
      <c r="B157" s="216"/>
      <c r="C157" s="183"/>
      <c r="D157" s="134" t="s">
        <v>387</v>
      </c>
      <c r="E157" s="124" t="s">
        <v>0</v>
      </c>
      <c r="F157" s="5">
        <v>1</v>
      </c>
      <c r="G157" s="6">
        <v>0.35</v>
      </c>
      <c r="H157" s="6"/>
      <c r="I157" s="6">
        <v>3</v>
      </c>
      <c r="J157" s="125">
        <v>1</v>
      </c>
      <c r="K157" s="7"/>
      <c r="L157" s="7">
        <f t="shared" si="8"/>
        <v>1.0499999999999998</v>
      </c>
      <c r="M157" s="188"/>
      <c r="N157" s="188"/>
      <c r="O157" s="188"/>
      <c r="P157" s="188"/>
    </row>
    <row r="158" spans="1:16" s="217" customFormat="1" x14ac:dyDescent="0.2">
      <c r="A158" s="215"/>
      <c r="B158" s="216"/>
      <c r="C158" s="183"/>
      <c r="D158" s="134" t="s">
        <v>388</v>
      </c>
      <c r="E158" s="124" t="s">
        <v>0</v>
      </c>
      <c r="F158" s="5">
        <v>1</v>
      </c>
      <c r="G158" s="6">
        <v>0.35</v>
      </c>
      <c r="H158" s="6"/>
      <c r="I158" s="6">
        <v>3.1</v>
      </c>
      <c r="J158" s="125">
        <v>1</v>
      </c>
      <c r="K158" s="7"/>
      <c r="L158" s="7">
        <f t="shared" si="8"/>
        <v>1.085</v>
      </c>
      <c r="M158" s="188"/>
      <c r="N158" s="188"/>
      <c r="O158" s="188"/>
      <c r="P158" s="188"/>
    </row>
    <row r="159" spans="1:16" s="217" customFormat="1" x14ac:dyDescent="0.2">
      <c r="A159" s="215"/>
      <c r="B159" s="216"/>
      <c r="C159" s="183"/>
      <c r="D159" s="201" t="s">
        <v>68</v>
      </c>
      <c r="E159" s="193"/>
      <c r="F159" s="160"/>
      <c r="G159" s="191" t="s">
        <v>198</v>
      </c>
      <c r="H159" s="191"/>
      <c r="I159" s="191"/>
      <c r="J159" s="190"/>
      <c r="K159" s="180"/>
      <c r="L159" s="180"/>
      <c r="M159" s="188"/>
      <c r="N159" s="188"/>
      <c r="O159" s="188"/>
      <c r="P159" s="188"/>
    </row>
    <row r="160" spans="1:16" s="217" customFormat="1" x14ac:dyDescent="0.2">
      <c r="A160" s="215"/>
      <c r="B160" s="216"/>
      <c r="C160" s="183"/>
      <c r="D160" s="134" t="s">
        <v>389</v>
      </c>
      <c r="E160" s="124" t="s">
        <v>0</v>
      </c>
      <c r="F160" s="5">
        <v>2</v>
      </c>
      <c r="G160" s="6">
        <v>2</v>
      </c>
      <c r="H160" s="6"/>
      <c r="I160" s="6">
        <v>3.3</v>
      </c>
      <c r="J160" s="125">
        <v>1</v>
      </c>
      <c r="K160" s="7"/>
      <c r="L160" s="7">
        <f t="shared" si="8"/>
        <v>13.2</v>
      </c>
      <c r="M160" s="188"/>
      <c r="N160" s="188"/>
      <c r="O160" s="188"/>
      <c r="P160" s="188"/>
    </row>
    <row r="161" spans="1:16" s="217" customFormat="1" x14ac:dyDescent="0.2">
      <c r="A161" s="215"/>
      <c r="B161" s="216"/>
      <c r="C161" s="183"/>
      <c r="D161" s="134" t="s">
        <v>390</v>
      </c>
      <c r="E161" s="124" t="s">
        <v>0</v>
      </c>
      <c r="F161" s="5">
        <v>6</v>
      </c>
      <c r="G161" s="6">
        <v>1.9</v>
      </c>
      <c r="H161" s="6"/>
      <c r="I161" s="6">
        <v>3.3</v>
      </c>
      <c r="J161" s="125">
        <v>1</v>
      </c>
      <c r="K161" s="7"/>
      <c r="L161" s="7">
        <f t="shared" si="8"/>
        <v>37.61999999999999</v>
      </c>
      <c r="M161" s="188"/>
      <c r="N161" s="188"/>
      <c r="O161" s="188"/>
      <c r="P161" s="188"/>
    </row>
    <row r="162" spans="1:16" s="217" customFormat="1" x14ac:dyDescent="0.2">
      <c r="A162" s="215"/>
      <c r="B162" s="216"/>
      <c r="C162" s="183"/>
      <c r="D162" s="134" t="s">
        <v>391</v>
      </c>
      <c r="E162" s="124" t="s">
        <v>0</v>
      </c>
      <c r="F162" s="5">
        <v>13</v>
      </c>
      <c r="G162" s="6">
        <v>1</v>
      </c>
      <c r="H162" s="6"/>
      <c r="I162" s="6">
        <v>3.3</v>
      </c>
      <c r="J162" s="125">
        <v>1</v>
      </c>
      <c r="K162" s="7"/>
      <c r="L162" s="7">
        <f t="shared" si="8"/>
        <v>42.9</v>
      </c>
      <c r="M162" s="188"/>
      <c r="N162" s="188"/>
      <c r="O162" s="188"/>
      <c r="P162" s="188"/>
    </row>
    <row r="163" spans="1:16" s="217" customFormat="1" x14ac:dyDescent="0.2">
      <c r="A163" s="215"/>
      <c r="B163" s="216"/>
      <c r="C163" s="183"/>
      <c r="D163" s="201" t="s">
        <v>106</v>
      </c>
      <c r="E163" s="193"/>
      <c r="F163" s="160"/>
      <c r="G163" s="191" t="s">
        <v>198</v>
      </c>
      <c r="H163" s="191"/>
      <c r="I163" s="191"/>
      <c r="J163" s="190"/>
      <c r="K163" s="180"/>
      <c r="L163" s="180"/>
      <c r="M163" s="188"/>
      <c r="N163" s="188"/>
      <c r="O163" s="188"/>
      <c r="P163" s="188"/>
    </row>
    <row r="164" spans="1:16" s="217" customFormat="1" x14ac:dyDescent="0.2">
      <c r="A164" s="215"/>
      <c r="B164" s="216"/>
      <c r="C164" s="183"/>
      <c r="D164" s="134" t="s">
        <v>389</v>
      </c>
      <c r="E164" s="124" t="s">
        <v>0</v>
      </c>
      <c r="F164" s="5">
        <v>2</v>
      </c>
      <c r="G164" s="6">
        <v>2</v>
      </c>
      <c r="H164" s="6"/>
      <c r="I164" s="6">
        <v>3.1</v>
      </c>
      <c r="J164" s="125">
        <v>1</v>
      </c>
      <c r="K164" s="7"/>
      <c r="L164" s="7">
        <f t="shared" ref="L164:L166" si="9">IF(F164="","",PRODUCT(F164:J164))</f>
        <v>12.4</v>
      </c>
      <c r="M164" s="188"/>
      <c r="N164" s="188"/>
      <c r="O164" s="188"/>
      <c r="P164" s="188"/>
    </row>
    <row r="165" spans="1:16" s="217" customFormat="1" x14ac:dyDescent="0.2">
      <c r="A165" s="215"/>
      <c r="B165" s="216"/>
      <c r="C165" s="183"/>
      <c r="D165" s="134" t="s">
        <v>390</v>
      </c>
      <c r="E165" s="124" t="s">
        <v>0</v>
      </c>
      <c r="F165" s="5">
        <v>6</v>
      </c>
      <c r="G165" s="6">
        <v>1.9</v>
      </c>
      <c r="H165" s="6"/>
      <c r="I165" s="6">
        <v>3.1</v>
      </c>
      <c r="J165" s="125">
        <v>1</v>
      </c>
      <c r="K165" s="7"/>
      <c r="L165" s="7">
        <f t="shared" si="9"/>
        <v>35.339999999999996</v>
      </c>
      <c r="M165" s="188"/>
      <c r="N165" s="188"/>
      <c r="O165" s="188"/>
      <c r="P165" s="188"/>
    </row>
    <row r="166" spans="1:16" s="217" customFormat="1" x14ac:dyDescent="0.2">
      <c r="A166" s="215"/>
      <c r="B166" s="216"/>
      <c r="C166" s="183"/>
      <c r="D166" s="134" t="s">
        <v>391</v>
      </c>
      <c r="E166" s="124" t="s">
        <v>0</v>
      </c>
      <c r="F166" s="5">
        <v>13</v>
      </c>
      <c r="G166" s="6">
        <v>1</v>
      </c>
      <c r="H166" s="6"/>
      <c r="I166" s="6">
        <v>3.1</v>
      </c>
      <c r="J166" s="125">
        <v>1</v>
      </c>
      <c r="K166" s="7"/>
      <c r="L166" s="7">
        <f t="shared" si="9"/>
        <v>40.300000000000004</v>
      </c>
      <c r="M166" s="188"/>
      <c r="N166" s="188"/>
      <c r="O166" s="188"/>
      <c r="P166" s="188"/>
    </row>
    <row r="167" spans="1:16" s="217" customFormat="1" x14ac:dyDescent="0.2">
      <c r="A167" s="215"/>
      <c r="B167" s="216"/>
      <c r="C167" s="183"/>
      <c r="D167" s="199"/>
      <c r="E167" s="202"/>
      <c r="F167" s="187"/>
      <c r="G167" s="200"/>
      <c r="H167" s="200"/>
      <c r="I167" s="200"/>
      <c r="J167" s="196"/>
      <c r="K167" s="188"/>
      <c r="L167" s="188"/>
      <c r="M167" s="188"/>
      <c r="N167" s="188"/>
      <c r="O167" s="188"/>
      <c r="P167" s="188"/>
    </row>
    <row r="168" spans="1:16" s="170" customFormat="1" x14ac:dyDescent="0.3">
      <c r="A168" s="170">
        <v>3</v>
      </c>
      <c r="C168" s="99" t="s">
        <v>1183</v>
      </c>
      <c r="D168" s="100" t="s">
        <v>519</v>
      </c>
      <c r="E168" s="209" t="s">
        <v>0</v>
      </c>
      <c r="F168" s="158"/>
      <c r="G168" s="159"/>
      <c r="H168" s="159"/>
      <c r="I168" s="159"/>
      <c r="J168" s="211"/>
      <c r="K168" s="175"/>
      <c r="L168" s="175"/>
      <c r="M168" s="175"/>
      <c r="N168" s="175"/>
      <c r="O168" s="175"/>
      <c r="P168" s="175">
        <f>SUM(L168:L257)</f>
        <v>67.339000000000027</v>
      </c>
    </row>
    <row r="169" spans="1:16" s="170" customFormat="1" x14ac:dyDescent="0.3">
      <c r="C169" s="181"/>
      <c r="D169" s="201" t="s">
        <v>127</v>
      </c>
      <c r="E169" s="193"/>
      <c r="F169" s="160"/>
      <c r="G169" s="191"/>
      <c r="H169" s="191"/>
      <c r="I169" s="191" t="s">
        <v>392</v>
      </c>
      <c r="J169" s="190"/>
      <c r="K169" s="180"/>
      <c r="L169" s="180"/>
      <c r="M169" s="180"/>
      <c r="N169" s="180"/>
      <c r="O169" s="180"/>
      <c r="P169" s="180"/>
    </row>
    <row r="170" spans="1:16" s="170" customFormat="1" x14ac:dyDescent="0.3">
      <c r="C170" s="181"/>
      <c r="D170" s="4" t="s">
        <v>393</v>
      </c>
      <c r="E170" s="124" t="s">
        <v>0</v>
      </c>
      <c r="F170" s="5">
        <v>1</v>
      </c>
      <c r="G170" s="6">
        <v>2.9</v>
      </c>
      <c r="H170" s="6">
        <v>0.25</v>
      </c>
      <c r="I170" s="6">
        <v>0.2</v>
      </c>
      <c r="J170" s="125">
        <v>1</v>
      </c>
      <c r="K170" s="7"/>
      <c r="L170" s="7">
        <f t="shared" ref="L170:L192" si="10">(H170+I170)*G170*F170*J170</f>
        <v>1.3049999999999999</v>
      </c>
      <c r="M170" s="180"/>
      <c r="N170" s="180"/>
      <c r="O170" s="180"/>
      <c r="P170" s="180"/>
    </row>
    <row r="171" spans="1:16" s="170" customFormat="1" x14ac:dyDescent="0.3">
      <c r="C171" s="181"/>
      <c r="D171" s="4"/>
      <c r="E171" s="124" t="s">
        <v>0</v>
      </c>
      <c r="F171" s="5">
        <v>1</v>
      </c>
      <c r="G171" s="6">
        <v>2.9</v>
      </c>
      <c r="H171" s="6"/>
      <c r="I171" s="6">
        <v>0.5</v>
      </c>
      <c r="J171" s="125">
        <v>1</v>
      </c>
      <c r="K171" s="7"/>
      <c r="L171" s="7">
        <f t="shared" si="10"/>
        <v>1.45</v>
      </c>
      <c r="M171" s="180"/>
      <c r="N171" s="180"/>
      <c r="O171" s="180"/>
      <c r="P171" s="180"/>
    </row>
    <row r="172" spans="1:16" s="170" customFormat="1" x14ac:dyDescent="0.3">
      <c r="C172" s="181"/>
      <c r="D172" s="4" t="s">
        <v>394</v>
      </c>
      <c r="E172" s="124" t="s">
        <v>0</v>
      </c>
      <c r="F172" s="5">
        <v>1</v>
      </c>
      <c r="G172" s="6">
        <v>3.78</v>
      </c>
      <c r="H172" s="6"/>
      <c r="I172" s="6">
        <v>0.2</v>
      </c>
      <c r="J172" s="125">
        <v>1</v>
      </c>
      <c r="K172" s="7"/>
      <c r="L172" s="7">
        <f t="shared" si="10"/>
        <v>0.75600000000000001</v>
      </c>
      <c r="M172" s="180"/>
      <c r="N172" s="180"/>
      <c r="O172" s="180"/>
      <c r="P172" s="180"/>
    </row>
    <row r="173" spans="1:16" s="170" customFormat="1" x14ac:dyDescent="0.3">
      <c r="C173" s="181"/>
      <c r="D173" s="4"/>
      <c r="E173" s="124" t="s">
        <v>0</v>
      </c>
      <c r="F173" s="5">
        <v>1</v>
      </c>
      <c r="G173" s="6">
        <v>4.1100000000000003</v>
      </c>
      <c r="H173" s="6"/>
      <c r="I173" s="6">
        <v>0.5</v>
      </c>
      <c r="J173" s="125">
        <v>1</v>
      </c>
      <c r="K173" s="7"/>
      <c r="L173" s="7">
        <f t="shared" si="10"/>
        <v>2.0550000000000002</v>
      </c>
      <c r="M173" s="180"/>
      <c r="N173" s="180"/>
      <c r="O173" s="180"/>
      <c r="P173" s="180"/>
    </row>
    <row r="174" spans="1:16" s="170" customFormat="1" x14ac:dyDescent="0.3">
      <c r="C174" s="181"/>
      <c r="D174" s="4" t="s">
        <v>395</v>
      </c>
      <c r="E174" s="124" t="s">
        <v>0</v>
      </c>
      <c r="F174" s="5">
        <v>1</v>
      </c>
      <c r="G174" s="6">
        <v>3.74</v>
      </c>
      <c r="H174" s="6"/>
      <c r="I174" s="6">
        <v>0.2</v>
      </c>
      <c r="J174" s="125">
        <v>1</v>
      </c>
      <c r="K174" s="7"/>
      <c r="L174" s="7">
        <f t="shared" si="10"/>
        <v>0.74800000000000011</v>
      </c>
      <c r="M174" s="180"/>
      <c r="N174" s="180"/>
      <c r="O174" s="180"/>
      <c r="P174" s="180"/>
    </row>
    <row r="175" spans="1:16" s="170" customFormat="1" x14ac:dyDescent="0.3">
      <c r="C175" s="181"/>
      <c r="D175" s="4"/>
      <c r="E175" s="124" t="s">
        <v>0</v>
      </c>
      <c r="F175" s="5">
        <v>1</v>
      </c>
      <c r="G175" s="6">
        <v>3.71</v>
      </c>
      <c r="H175" s="6"/>
      <c r="I175" s="6">
        <v>0.5</v>
      </c>
      <c r="J175" s="125">
        <v>1</v>
      </c>
      <c r="K175" s="7"/>
      <c r="L175" s="7">
        <f t="shared" si="10"/>
        <v>1.855</v>
      </c>
      <c r="M175" s="180"/>
      <c r="N175" s="180"/>
      <c r="O175" s="180"/>
      <c r="P175" s="180"/>
    </row>
    <row r="176" spans="1:16" s="170" customFormat="1" x14ac:dyDescent="0.3">
      <c r="C176" s="181"/>
      <c r="D176" s="4" t="s">
        <v>396</v>
      </c>
      <c r="E176" s="124" t="s">
        <v>0</v>
      </c>
      <c r="F176" s="5">
        <v>1</v>
      </c>
      <c r="G176" s="6">
        <v>3.78</v>
      </c>
      <c r="H176" s="6"/>
      <c r="I176" s="6">
        <v>0.2</v>
      </c>
      <c r="J176" s="125">
        <v>1</v>
      </c>
      <c r="K176" s="7"/>
      <c r="L176" s="7">
        <f t="shared" si="10"/>
        <v>0.75600000000000001</v>
      </c>
      <c r="M176" s="180"/>
      <c r="N176" s="180"/>
      <c r="O176" s="180"/>
      <c r="P176" s="180"/>
    </row>
    <row r="177" spans="3:16" s="170" customFormat="1" x14ac:dyDescent="0.3">
      <c r="C177" s="181"/>
      <c r="D177" s="4"/>
      <c r="E177" s="124" t="s">
        <v>0</v>
      </c>
      <c r="F177" s="5">
        <v>1</v>
      </c>
      <c r="G177" s="6">
        <v>4.1100000000000003</v>
      </c>
      <c r="H177" s="6"/>
      <c r="I177" s="6">
        <v>0.5</v>
      </c>
      <c r="J177" s="125">
        <v>1</v>
      </c>
      <c r="K177" s="7"/>
      <c r="L177" s="7">
        <f t="shared" si="10"/>
        <v>2.0550000000000002</v>
      </c>
      <c r="M177" s="180"/>
      <c r="N177" s="180"/>
      <c r="O177" s="180"/>
      <c r="P177" s="180"/>
    </row>
    <row r="178" spans="3:16" s="170" customFormat="1" x14ac:dyDescent="0.3">
      <c r="C178" s="181"/>
      <c r="D178" s="4" t="s">
        <v>397</v>
      </c>
      <c r="E178" s="124" t="s">
        <v>0</v>
      </c>
      <c r="F178" s="5">
        <v>1</v>
      </c>
      <c r="G178" s="6">
        <v>3</v>
      </c>
      <c r="H178" s="6">
        <v>0.25</v>
      </c>
      <c r="I178" s="6">
        <v>0.2</v>
      </c>
      <c r="J178" s="125">
        <v>1</v>
      </c>
      <c r="K178" s="7"/>
      <c r="L178" s="7">
        <f t="shared" si="10"/>
        <v>1.35</v>
      </c>
      <c r="M178" s="180"/>
      <c r="N178" s="180"/>
      <c r="O178" s="180"/>
      <c r="P178" s="180"/>
    </row>
    <row r="179" spans="3:16" s="170" customFormat="1" x14ac:dyDescent="0.3">
      <c r="C179" s="181"/>
      <c r="D179" s="4"/>
      <c r="E179" s="124" t="s">
        <v>0</v>
      </c>
      <c r="F179" s="5">
        <v>1</v>
      </c>
      <c r="G179" s="6">
        <v>3</v>
      </c>
      <c r="H179" s="6"/>
      <c r="I179" s="6">
        <v>0.5</v>
      </c>
      <c r="J179" s="125">
        <v>1</v>
      </c>
      <c r="K179" s="7"/>
      <c r="L179" s="7">
        <f t="shared" si="10"/>
        <v>1.5</v>
      </c>
      <c r="M179" s="180"/>
      <c r="N179" s="180"/>
      <c r="O179" s="180"/>
      <c r="P179" s="180"/>
    </row>
    <row r="180" spans="3:16" s="170" customFormat="1" x14ac:dyDescent="0.3">
      <c r="C180" s="181"/>
      <c r="D180" s="4" t="s">
        <v>416</v>
      </c>
      <c r="E180" s="124" t="s">
        <v>0</v>
      </c>
      <c r="F180" s="5">
        <v>1</v>
      </c>
      <c r="G180" s="6">
        <v>1.72</v>
      </c>
      <c r="H180" s="6">
        <v>0.25</v>
      </c>
      <c r="I180" s="6">
        <v>0.2</v>
      </c>
      <c r="J180" s="125">
        <v>1</v>
      </c>
      <c r="K180" s="7"/>
      <c r="L180" s="7">
        <f t="shared" si="10"/>
        <v>0.77400000000000002</v>
      </c>
      <c r="M180" s="180"/>
      <c r="N180" s="180"/>
      <c r="O180" s="180"/>
      <c r="P180" s="180"/>
    </row>
    <row r="181" spans="3:16" s="170" customFormat="1" x14ac:dyDescent="0.3">
      <c r="C181" s="181"/>
      <c r="D181" s="4"/>
      <c r="E181" s="124" t="s">
        <v>0</v>
      </c>
      <c r="F181" s="5">
        <v>1</v>
      </c>
      <c r="G181" s="6">
        <v>1.72</v>
      </c>
      <c r="H181" s="6"/>
      <c r="I181" s="6">
        <v>0.5</v>
      </c>
      <c r="J181" s="125">
        <v>1</v>
      </c>
      <c r="K181" s="7"/>
      <c r="L181" s="7">
        <f t="shared" si="10"/>
        <v>0.86</v>
      </c>
      <c r="M181" s="180"/>
      <c r="N181" s="180"/>
      <c r="O181" s="180"/>
      <c r="P181" s="180"/>
    </row>
    <row r="182" spans="3:16" s="170" customFormat="1" x14ac:dyDescent="0.3">
      <c r="C182" s="181"/>
      <c r="D182" s="4" t="s">
        <v>417</v>
      </c>
      <c r="E182" s="124" t="s">
        <v>0</v>
      </c>
      <c r="F182" s="5">
        <v>1</v>
      </c>
      <c r="G182" s="6">
        <v>1.55</v>
      </c>
      <c r="H182" s="6">
        <v>0.25</v>
      </c>
      <c r="I182" s="6">
        <v>0.2</v>
      </c>
      <c r="J182" s="125">
        <v>1</v>
      </c>
      <c r="K182" s="7"/>
      <c r="L182" s="7">
        <f t="shared" si="10"/>
        <v>0.69750000000000001</v>
      </c>
      <c r="M182" s="180"/>
      <c r="N182" s="180"/>
      <c r="O182" s="180"/>
      <c r="P182" s="180"/>
    </row>
    <row r="183" spans="3:16" s="170" customFormat="1" x14ac:dyDescent="0.3">
      <c r="C183" s="181"/>
      <c r="D183" s="4"/>
      <c r="E183" s="124" t="s">
        <v>0</v>
      </c>
      <c r="F183" s="5">
        <v>1</v>
      </c>
      <c r="G183" s="6">
        <v>1.55</v>
      </c>
      <c r="H183" s="6"/>
      <c r="I183" s="6">
        <v>0.5</v>
      </c>
      <c r="J183" s="125">
        <v>1</v>
      </c>
      <c r="K183" s="7"/>
      <c r="L183" s="7">
        <f t="shared" si="10"/>
        <v>0.77500000000000002</v>
      </c>
      <c r="M183" s="180"/>
      <c r="N183" s="180"/>
      <c r="O183" s="180"/>
      <c r="P183" s="180"/>
    </row>
    <row r="184" spans="3:16" s="170" customFormat="1" x14ac:dyDescent="0.3">
      <c r="C184" s="181"/>
      <c r="D184" s="4" t="s">
        <v>418</v>
      </c>
      <c r="E184" s="124" t="s">
        <v>0</v>
      </c>
      <c r="F184" s="5">
        <v>1</v>
      </c>
      <c r="G184" s="6">
        <v>1.55</v>
      </c>
      <c r="H184" s="6">
        <v>0.25</v>
      </c>
      <c r="I184" s="6">
        <v>0.2</v>
      </c>
      <c r="J184" s="125">
        <v>1</v>
      </c>
      <c r="K184" s="7"/>
      <c r="L184" s="7">
        <f t="shared" si="10"/>
        <v>0.69750000000000001</v>
      </c>
      <c r="M184" s="180"/>
      <c r="N184" s="180"/>
      <c r="O184" s="180"/>
      <c r="P184" s="180"/>
    </row>
    <row r="185" spans="3:16" s="170" customFormat="1" x14ac:dyDescent="0.3">
      <c r="C185" s="181"/>
      <c r="D185" s="4"/>
      <c r="E185" s="124" t="s">
        <v>0</v>
      </c>
      <c r="F185" s="5">
        <v>1</v>
      </c>
      <c r="G185" s="6">
        <v>1.55</v>
      </c>
      <c r="H185" s="6"/>
      <c r="I185" s="6">
        <v>0.5</v>
      </c>
      <c r="J185" s="125">
        <v>1</v>
      </c>
      <c r="K185" s="7"/>
      <c r="L185" s="7">
        <f t="shared" si="10"/>
        <v>0.77500000000000002</v>
      </c>
      <c r="M185" s="180"/>
      <c r="N185" s="180"/>
      <c r="O185" s="180"/>
      <c r="P185" s="180"/>
    </row>
    <row r="186" spans="3:16" s="170" customFormat="1" x14ac:dyDescent="0.3">
      <c r="C186" s="181"/>
      <c r="D186" s="4" t="s">
        <v>419</v>
      </c>
      <c r="E186" s="124" t="s">
        <v>0</v>
      </c>
      <c r="F186" s="5">
        <v>1</v>
      </c>
      <c r="G186" s="6">
        <v>1.74</v>
      </c>
      <c r="H186" s="6">
        <v>0.25</v>
      </c>
      <c r="I186" s="6">
        <v>0.2</v>
      </c>
      <c r="J186" s="125">
        <v>1</v>
      </c>
      <c r="K186" s="7"/>
      <c r="L186" s="7">
        <f t="shared" si="10"/>
        <v>0.78300000000000003</v>
      </c>
      <c r="M186" s="180"/>
      <c r="N186" s="180"/>
      <c r="O186" s="180"/>
      <c r="P186" s="180"/>
    </row>
    <row r="187" spans="3:16" s="170" customFormat="1" x14ac:dyDescent="0.3">
      <c r="C187" s="181"/>
      <c r="D187" s="4"/>
      <c r="E187" s="124" t="s">
        <v>0</v>
      </c>
      <c r="F187" s="5">
        <v>1</v>
      </c>
      <c r="G187" s="6">
        <v>1.74</v>
      </c>
      <c r="H187" s="6"/>
      <c r="I187" s="6">
        <v>0.5</v>
      </c>
      <c r="J187" s="125">
        <v>1</v>
      </c>
      <c r="K187" s="7"/>
      <c r="L187" s="7">
        <f t="shared" si="10"/>
        <v>0.87</v>
      </c>
      <c r="M187" s="180"/>
      <c r="N187" s="180"/>
      <c r="O187" s="180"/>
      <c r="P187" s="180"/>
    </row>
    <row r="188" spans="3:16" s="170" customFormat="1" x14ac:dyDescent="0.3">
      <c r="C188" s="181"/>
      <c r="D188" s="4" t="s">
        <v>398</v>
      </c>
      <c r="E188" s="124" t="s">
        <v>0</v>
      </c>
      <c r="F188" s="5">
        <v>1</v>
      </c>
      <c r="G188" s="6">
        <v>6.82</v>
      </c>
      <c r="H188" s="6">
        <v>0.4</v>
      </c>
      <c r="I188" s="6">
        <f>0.35*2</f>
        <v>0.7</v>
      </c>
      <c r="J188" s="125">
        <v>1</v>
      </c>
      <c r="K188" s="7"/>
      <c r="L188" s="7">
        <f t="shared" si="10"/>
        <v>7.5020000000000007</v>
      </c>
      <c r="M188" s="180"/>
      <c r="N188" s="180"/>
      <c r="O188" s="180"/>
      <c r="P188" s="180"/>
    </row>
    <row r="189" spans="3:16" s="170" customFormat="1" x14ac:dyDescent="0.3">
      <c r="C189" s="181"/>
      <c r="D189" s="4" t="s">
        <v>399</v>
      </c>
      <c r="E189" s="124" t="s">
        <v>0</v>
      </c>
      <c r="F189" s="5">
        <v>1</v>
      </c>
      <c r="G189" s="6">
        <v>6.82</v>
      </c>
      <c r="H189" s="6">
        <v>0.4</v>
      </c>
      <c r="I189" s="6">
        <f>0.35*2</f>
        <v>0.7</v>
      </c>
      <c r="J189" s="125">
        <v>1</v>
      </c>
      <c r="K189" s="7"/>
      <c r="L189" s="7">
        <f t="shared" si="10"/>
        <v>7.5020000000000007</v>
      </c>
      <c r="M189" s="180"/>
      <c r="N189" s="180"/>
      <c r="O189" s="180"/>
      <c r="P189" s="180"/>
    </row>
    <row r="190" spans="3:16" s="170" customFormat="1" x14ac:dyDescent="0.3">
      <c r="C190" s="181"/>
      <c r="D190" s="4" t="s">
        <v>400</v>
      </c>
      <c r="E190" s="124" t="s">
        <v>0</v>
      </c>
      <c r="F190" s="5">
        <v>1</v>
      </c>
      <c r="G190" s="6">
        <v>1.72</v>
      </c>
      <c r="H190" s="6">
        <v>0.35</v>
      </c>
      <c r="I190" s="6">
        <f>0.2*2</f>
        <v>0.4</v>
      </c>
      <c r="J190" s="125">
        <v>1</v>
      </c>
      <c r="K190" s="7"/>
      <c r="L190" s="7">
        <f t="shared" si="10"/>
        <v>1.29</v>
      </c>
      <c r="M190" s="180"/>
      <c r="N190" s="180"/>
      <c r="O190" s="180"/>
      <c r="P190" s="180"/>
    </row>
    <row r="191" spans="3:16" s="170" customFormat="1" x14ac:dyDescent="0.3">
      <c r="C191" s="181"/>
      <c r="D191" s="4" t="s">
        <v>401</v>
      </c>
      <c r="E191" s="124" t="s">
        <v>0</v>
      </c>
      <c r="F191" s="5">
        <v>1</v>
      </c>
      <c r="G191" s="6">
        <v>3.6</v>
      </c>
      <c r="H191" s="6">
        <v>0.35</v>
      </c>
      <c r="I191" s="6">
        <f>0.2*2</f>
        <v>0.4</v>
      </c>
      <c r="J191" s="125">
        <v>1</v>
      </c>
      <c r="K191" s="7"/>
      <c r="L191" s="7">
        <f t="shared" si="10"/>
        <v>2.7</v>
      </c>
      <c r="M191" s="180"/>
      <c r="N191" s="180"/>
      <c r="O191" s="180"/>
      <c r="P191" s="180"/>
    </row>
    <row r="192" spans="3:16" s="170" customFormat="1" x14ac:dyDescent="0.3">
      <c r="C192" s="181"/>
      <c r="D192" s="4" t="s">
        <v>402</v>
      </c>
      <c r="E192" s="124" t="s">
        <v>0</v>
      </c>
      <c r="F192" s="5">
        <v>1</v>
      </c>
      <c r="G192" s="6">
        <v>1.72</v>
      </c>
      <c r="H192" s="6">
        <v>0.35</v>
      </c>
      <c r="I192" s="6">
        <f>0.2*2</f>
        <v>0.4</v>
      </c>
      <c r="J192" s="125">
        <v>1</v>
      </c>
      <c r="K192" s="7"/>
      <c r="L192" s="7">
        <f t="shared" si="10"/>
        <v>1.29</v>
      </c>
      <c r="M192" s="180"/>
      <c r="N192" s="180"/>
      <c r="O192" s="180"/>
      <c r="P192" s="180"/>
    </row>
    <row r="193" spans="3:16" s="170" customFormat="1" x14ac:dyDescent="0.3">
      <c r="C193" s="181"/>
      <c r="D193" s="201" t="s">
        <v>68</v>
      </c>
      <c r="E193" s="193"/>
      <c r="F193" s="160"/>
      <c r="G193" s="191"/>
      <c r="H193" s="191"/>
      <c r="I193" s="191" t="s">
        <v>392</v>
      </c>
      <c r="J193" s="190"/>
      <c r="K193" s="180"/>
      <c r="L193" s="180"/>
      <c r="M193" s="180"/>
      <c r="N193" s="180"/>
      <c r="O193" s="180"/>
      <c r="P193" s="180"/>
    </row>
    <row r="194" spans="3:16" s="170" customFormat="1" x14ac:dyDescent="0.3">
      <c r="C194" s="181"/>
      <c r="D194" s="219" t="s">
        <v>403</v>
      </c>
      <c r="E194" s="202"/>
      <c r="F194" s="187"/>
      <c r="G194" s="200"/>
      <c r="H194" s="200"/>
      <c r="I194" s="200"/>
      <c r="J194" s="196"/>
      <c r="K194" s="188"/>
      <c r="L194" s="188"/>
      <c r="M194" s="180"/>
      <c r="N194" s="180"/>
      <c r="O194" s="180"/>
      <c r="P194" s="180"/>
    </row>
    <row r="195" spans="3:16" s="170" customFormat="1" x14ac:dyDescent="0.3">
      <c r="C195" s="176"/>
      <c r="D195" s="4" t="s">
        <v>310</v>
      </c>
      <c r="E195" s="124" t="s">
        <v>0</v>
      </c>
      <c r="F195" s="129">
        <v>1</v>
      </c>
      <c r="G195" s="130">
        <v>0.75</v>
      </c>
      <c r="H195" s="6">
        <f t="shared" ref="H195:H210" si="11">0.2*2</f>
        <v>0.4</v>
      </c>
      <c r="I195" s="6">
        <f t="shared" ref="I195:I210" si="12">0.15*2</f>
        <v>0.3</v>
      </c>
      <c r="J195" s="129">
        <v>1</v>
      </c>
      <c r="K195" s="7"/>
      <c r="L195" s="7">
        <f t="shared" ref="L195:L210" si="13">(H195+I195)*G195*F195*J195</f>
        <v>0.52499999999999991</v>
      </c>
      <c r="M195" s="180"/>
      <c r="N195" s="180"/>
      <c r="O195" s="180"/>
      <c r="P195" s="180"/>
    </row>
    <row r="196" spans="3:16" s="170" customFormat="1" x14ac:dyDescent="0.3">
      <c r="C196" s="176"/>
      <c r="D196" s="4" t="s">
        <v>311</v>
      </c>
      <c r="E196" s="124" t="s">
        <v>0</v>
      </c>
      <c r="F196" s="129">
        <v>1</v>
      </c>
      <c r="G196" s="130">
        <v>0.8</v>
      </c>
      <c r="H196" s="6">
        <f t="shared" si="11"/>
        <v>0.4</v>
      </c>
      <c r="I196" s="6">
        <f t="shared" si="12"/>
        <v>0.3</v>
      </c>
      <c r="J196" s="129">
        <v>1</v>
      </c>
      <c r="K196" s="7"/>
      <c r="L196" s="7">
        <f t="shared" si="13"/>
        <v>0.55999999999999994</v>
      </c>
      <c r="M196" s="180"/>
      <c r="N196" s="180"/>
      <c r="O196" s="180"/>
      <c r="P196" s="180"/>
    </row>
    <row r="197" spans="3:16" s="170" customFormat="1" x14ac:dyDescent="0.3">
      <c r="C197" s="176"/>
      <c r="D197" s="4" t="s">
        <v>334</v>
      </c>
      <c r="E197" s="124" t="s">
        <v>0</v>
      </c>
      <c r="F197" s="129">
        <v>1</v>
      </c>
      <c r="G197" s="130">
        <v>0.77</v>
      </c>
      <c r="H197" s="6">
        <f t="shared" si="11"/>
        <v>0.4</v>
      </c>
      <c r="I197" s="6">
        <f t="shared" si="12"/>
        <v>0.3</v>
      </c>
      <c r="J197" s="129">
        <v>1</v>
      </c>
      <c r="K197" s="7"/>
      <c r="L197" s="7">
        <f t="shared" si="13"/>
        <v>0.53899999999999992</v>
      </c>
      <c r="M197" s="180"/>
      <c r="N197" s="180"/>
      <c r="O197" s="180"/>
      <c r="P197" s="180"/>
    </row>
    <row r="198" spans="3:16" s="170" customFormat="1" x14ac:dyDescent="0.3">
      <c r="C198" s="176"/>
      <c r="D198" s="4" t="s">
        <v>335</v>
      </c>
      <c r="E198" s="124" t="s">
        <v>0</v>
      </c>
      <c r="F198" s="129">
        <v>1</v>
      </c>
      <c r="G198" s="130">
        <v>0.76</v>
      </c>
      <c r="H198" s="6">
        <f t="shared" si="11"/>
        <v>0.4</v>
      </c>
      <c r="I198" s="6">
        <f t="shared" si="12"/>
        <v>0.3</v>
      </c>
      <c r="J198" s="129">
        <v>1</v>
      </c>
      <c r="K198" s="7"/>
      <c r="L198" s="7">
        <f t="shared" si="13"/>
        <v>0.53199999999999992</v>
      </c>
      <c r="M198" s="180"/>
      <c r="N198" s="180"/>
      <c r="O198" s="180"/>
      <c r="P198" s="180"/>
    </row>
    <row r="199" spans="3:16" s="170" customFormat="1" x14ac:dyDescent="0.3">
      <c r="C199" s="176"/>
      <c r="D199" s="4" t="s">
        <v>336</v>
      </c>
      <c r="E199" s="124" t="s">
        <v>0</v>
      </c>
      <c r="F199" s="129">
        <v>1</v>
      </c>
      <c r="G199" s="130">
        <v>0.77</v>
      </c>
      <c r="H199" s="6">
        <f t="shared" si="11"/>
        <v>0.4</v>
      </c>
      <c r="I199" s="6">
        <f t="shared" si="12"/>
        <v>0.3</v>
      </c>
      <c r="J199" s="129">
        <v>1</v>
      </c>
      <c r="K199" s="7"/>
      <c r="L199" s="7">
        <f t="shared" si="13"/>
        <v>0.53899999999999992</v>
      </c>
      <c r="M199" s="180"/>
      <c r="N199" s="180"/>
      <c r="O199" s="180"/>
      <c r="P199" s="180"/>
    </row>
    <row r="200" spans="3:16" s="170" customFormat="1" x14ac:dyDescent="0.3">
      <c r="C200" s="176"/>
      <c r="D200" s="4" t="s">
        <v>337</v>
      </c>
      <c r="E200" s="124" t="s">
        <v>0</v>
      </c>
      <c r="F200" s="129">
        <v>1</v>
      </c>
      <c r="G200" s="130">
        <v>0.76</v>
      </c>
      <c r="H200" s="6">
        <f t="shared" si="11"/>
        <v>0.4</v>
      </c>
      <c r="I200" s="6">
        <f t="shared" si="12"/>
        <v>0.3</v>
      </c>
      <c r="J200" s="129">
        <v>1</v>
      </c>
      <c r="K200" s="7"/>
      <c r="L200" s="7">
        <f t="shared" si="13"/>
        <v>0.53199999999999992</v>
      </c>
      <c r="M200" s="180"/>
      <c r="N200" s="180"/>
      <c r="O200" s="180"/>
      <c r="P200" s="180"/>
    </row>
    <row r="201" spans="3:16" s="170" customFormat="1" x14ac:dyDescent="0.3">
      <c r="C201" s="176"/>
      <c r="D201" s="4" t="s">
        <v>338</v>
      </c>
      <c r="E201" s="124" t="s">
        <v>0</v>
      </c>
      <c r="F201" s="129">
        <v>1</v>
      </c>
      <c r="G201" s="130">
        <v>1</v>
      </c>
      <c r="H201" s="6">
        <f t="shared" si="11"/>
        <v>0.4</v>
      </c>
      <c r="I201" s="6">
        <f t="shared" si="12"/>
        <v>0.3</v>
      </c>
      <c r="J201" s="129">
        <v>1</v>
      </c>
      <c r="K201" s="7"/>
      <c r="L201" s="7">
        <f t="shared" si="13"/>
        <v>0.7</v>
      </c>
      <c r="M201" s="180"/>
      <c r="N201" s="180"/>
      <c r="O201" s="180"/>
      <c r="P201" s="180"/>
    </row>
    <row r="202" spans="3:16" s="170" customFormat="1" x14ac:dyDescent="0.3">
      <c r="C202" s="176"/>
      <c r="D202" s="4" t="s">
        <v>339</v>
      </c>
      <c r="E202" s="124" t="s">
        <v>0</v>
      </c>
      <c r="F202" s="129">
        <v>1</v>
      </c>
      <c r="G202" s="130">
        <v>1</v>
      </c>
      <c r="H202" s="6">
        <f t="shared" si="11"/>
        <v>0.4</v>
      </c>
      <c r="I202" s="6">
        <f t="shared" si="12"/>
        <v>0.3</v>
      </c>
      <c r="J202" s="129">
        <v>1</v>
      </c>
      <c r="K202" s="7"/>
      <c r="L202" s="7">
        <f t="shared" si="13"/>
        <v>0.7</v>
      </c>
      <c r="M202" s="180"/>
      <c r="N202" s="180"/>
      <c r="O202" s="180"/>
      <c r="P202" s="180"/>
    </row>
    <row r="203" spans="3:16" s="170" customFormat="1" x14ac:dyDescent="0.3">
      <c r="C203" s="176"/>
      <c r="D203" s="4" t="s">
        <v>340</v>
      </c>
      <c r="E203" s="124" t="s">
        <v>0</v>
      </c>
      <c r="F203" s="129">
        <v>1</v>
      </c>
      <c r="G203" s="130">
        <v>1</v>
      </c>
      <c r="H203" s="6">
        <f t="shared" si="11"/>
        <v>0.4</v>
      </c>
      <c r="I203" s="6">
        <f t="shared" si="12"/>
        <v>0.3</v>
      </c>
      <c r="J203" s="129">
        <v>1</v>
      </c>
      <c r="K203" s="7"/>
      <c r="L203" s="7">
        <f t="shared" si="13"/>
        <v>0.7</v>
      </c>
      <c r="M203" s="180"/>
      <c r="N203" s="180"/>
      <c r="O203" s="180"/>
      <c r="P203" s="180"/>
    </row>
    <row r="204" spans="3:16" s="170" customFormat="1" x14ac:dyDescent="0.3">
      <c r="C204" s="176"/>
      <c r="D204" s="4" t="s">
        <v>341</v>
      </c>
      <c r="E204" s="124" t="s">
        <v>0</v>
      </c>
      <c r="F204" s="129">
        <v>1</v>
      </c>
      <c r="G204" s="130">
        <v>0.76</v>
      </c>
      <c r="H204" s="6">
        <f t="shared" si="11"/>
        <v>0.4</v>
      </c>
      <c r="I204" s="6">
        <f t="shared" si="12"/>
        <v>0.3</v>
      </c>
      <c r="J204" s="129">
        <v>1</v>
      </c>
      <c r="K204" s="7"/>
      <c r="L204" s="7">
        <f t="shared" si="13"/>
        <v>0.53199999999999992</v>
      </c>
      <c r="M204" s="180"/>
      <c r="N204" s="180"/>
      <c r="O204" s="180"/>
      <c r="P204" s="180"/>
    </row>
    <row r="205" spans="3:16" s="170" customFormat="1" x14ac:dyDescent="0.3">
      <c r="C205" s="176"/>
      <c r="D205" s="4" t="s">
        <v>342</v>
      </c>
      <c r="E205" s="124" t="s">
        <v>0</v>
      </c>
      <c r="F205" s="129">
        <v>1</v>
      </c>
      <c r="G205" s="130">
        <v>0.77</v>
      </c>
      <c r="H205" s="6">
        <f t="shared" si="11"/>
        <v>0.4</v>
      </c>
      <c r="I205" s="6">
        <f t="shared" si="12"/>
        <v>0.3</v>
      </c>
      <c r="J205" s="129">
        <v>1</v>
      </c>
      <c r="K205" s="7"/>
      <c r="L205" s="7">
        <f t="shared" si="13"/>
        <v>0.53899999999999992</v>
      </c>
      <c r="M205" s="180"/>
      <c r="N205" s="180"/>
      <c r="O205" s="180"/>
      <c r="P205" s="180"/>
    </row>
    <row r="206" spans="3:16" s="170" customFormat="1" x14ac:dyDescent="0.3">
      <c r="C206" s="176"/>
      <c r="D206" s="4" t="s">
        <v>343</v>
      </c>
      <c r="E206" s="124" t="s">
        <v>0</v>
      </c>
      <c r="F206" s="129">
        <v>1</v>
      </c>
      <c r="G206" s="130">
        <v>0.76</v>
      </c>
      <c r="H206" s="6">
        <f t="shared" si="11"/>
        <v>0.4</v>
      </c>
      <c r="I206" s="6">
        <f t="shared" si="12"/>
        <v>0.3</v>
      </c>
      <c r="J206" s="129">
        <v>1</v>
      </c>
      <c r="K206" s="7"/>
      <c r="L206" s="7">
        <f t="shared" si="13"/>
        <v>0.53199999999999992</v>
      </c>
      <c r="M206" s="180"/>
      <c r="N206" s="180"/>
      <c r="O206" s="180"/>
      <c r="P206" s="180"/>
    </row>
    <row r="207" spans="3:16" s="170" customFormat="1" x14ac:dyDescent="0.3">
      <c r="C207" s="176"/>
      <c r="D207" s="4" t="s">
        <v>344</v>
      </c>
      <c r="E207" s="124" t="s">
        <v>0</v>
      </c>
      <c r="F207" s="129">
        <v>1</v>
      </c>
      <c r="G207" s="130">
        <v>0.77</v>
      </c>
      <c r="H207" s="6">
        <f t="shared" si="11"/>
        <v>0.4</v>
      </c>
      <c r="I207" s="6">
        <f t="shared" si="12"/>
        <v>0.3</v>
      </c>
      <c r="J207" s="129">
        <v>1</v>
      </c>
      <c r="K207" s="7"/>
      <c r="L207" s="7">
        <f t="shared" si="13"/>
        <v>0.53899999999999992</v>
      </c>
      <c r="M207" s="180"/>
      <c r="N207" s="180"/>
      <c r="O207" s="180"/>
      <c r="P207" s="180"/>
    </row>
    <row r="208" spans="3:16" s="170" customFormat="1" x14ac:dyDescent="0.3">
      <c r="C208" s="176"/>
      <c r="D208" s="4" t="s">
        <v>345</v>
      </c>
      <c r="E208" s="124" t="s">
        <v>0</v>
      </c>
      <c r="F208" s="129">
        <v>1</v>
      </c>
      <c r="G208" s="130">
        <v>0.8</v>
      </c>
      <c r="H208" s="6">
        <f t="shared" si="11"/>
        <v>0.4</v>
      </c>
      <c r="I208" s="6">
        <f t="shared" si="12"/>
        <v>0.3</v>
      </c>
      <c r="J208" s="129">
        <v>1</v>
      </c>
      <c r="K208" s="7"/>
      <c r="L208" s="7">
        <f t="shared" si="13"/>
        <v>0.55999999999999994</v>
      </c>
      <c r="M208" s="180"/>
      <c r="N208" s="180"/>
      <c r="O208" s="180"/>
      <c r="P208" s="180"/>
    </row>
    <row r="209" spans="3:16" s="170" customFormat="1" x14ac:dyDescent="0.3">
      <c r="C209" s="176"/>
      <c r="D209" s="4" t="s">
        <v>346</v>
      </c>
      <c r="E209" s="124" t="s">
        <v>0</v>
      </c>
      <c r="F209" s="129">
        <v>1</v>
      </c>
      <c r="G209" s="130">
        <v>0.75</v>
      </c>
      <c r="H209" s="6">
        <f t="shared" si="11"/>
        <v>0.4</v>
      </c>
      <c r="I209" s="6">
        <f t="shared" si="12"/>
        <v>0.3</v>
      </c>
      <c r="J209" s="129">
        <v>1</v>
      </c>
      <c r="K209" s="7"/>
      <c r="L209" s="7">
        <f t="shared" si="13"/>
        <v>0.52499999999999991</v>
      </c>
      <c r="M209" s="180"/>
      <c r="N209" s="180"/>
      <c r="O209" s="180"/>
      <c r="P209" s="180"/>
    </row>
    <row r="210" spans="3:16" s="170" customFormat="1" x14ac:dyDescent="0.3">
      <c r="C210" s="176"/>
      <c r="D210" s="4" t="s">
        <v>347</v>
      </c>
      <c r="E210" s="124" t="s">
        <v>0</v>
      </c>
      <c r="F210" s="129">
        <v>1</v>
      </c>
      <c r="G210" s="130">
        <v>0.75</v>
      </c>
      <c r="H210" s="6">
        <f t="shared" si="11"/>
        <v>0.4</v>
      </c>
      <c r="I210" s="6">
        <f t="shared" si="12"/>
        <v>0.3</v>
      </c>
      <c r="J210" s="129">
        <v>1</v>
      </c>
      <c r="K210" s="7"/>
      <c r="L210" s="7">
        <f t="shared" si="13"/>
        <v>0.52499999999999991</v>
      </c>
      <c r="M210" s="180"/>
      <c r="N210" s="180"/>
      <c r="O210" s="180"/>
      <c r="P210" s="180"/>
    </row>
    <row r="211" spans="3:16" s="170" customFormat="1" x14ac:dyDescent="0.3">
      <c r="C211" s="181"/>
      <c r="D211" s="207" t="s">
        <v>405</v>
      </c>
      <c r="E211" s="124"/>
      <c r="F211" s="5"/>
      <c r="G211" s="6"/>
      <c r="H211" s="6"/>
      <c r="I211" s="6"/>
      <c r="J211" s="125"/>
      <c r="K211" s="7"/>
      <c r="L211" s="7"/>
      <c r="M211" s="180"/>
      <c r="N211" s="180"/>
      <c r="O211" s="180"/>
      <c r="P211" s="180"/>
    </row>
    <row r="212" spans="3:16" s="170" customFormat="1" x14ac:dyDescent="0.3">
      <c r="C212" s="181"/>
      <c r="D212" s="4" t="s">
        <v>406</v>
      </c>
      <c r="E212" s="124" t="s">
        <v>0</v>
      </c>
      <c r="F212" s="129">
        <v>1</v>
      </c>
      <c r="G212" s="130">
        <v>1.7</v>
      </c>
      <c r="H212" s="6"/>
      <c r="I212" s="6">
        <v>0.2</v>
      </c>
      <c r="J212" s="129">
        <v>1</v>
      </c>
      <c r="K212" s="7"/>
      <c r="L212" s="7">
        <f>(H212+I212)*G212*F212*J212</f>
        <v>0.34</v>
      </c>
      <c r="M212" s="180"/>
      <c r="N212" s="180"/>
      <c r="O212" s="180"/>
      <c r="P212" s="180"/>
    </row>
    <row r="213" spans="3:16" s="170" customFormat="1" x14ac:dyDescent="0.3">
      <c r="C213" s="181"/>
      <c r="D213" s="4" t="s">
        <v>347</v>
      </c>
      <c r="E213" s="124" t="s">
        <v>0</v>
      </c>
      <c r="F213" s="129">
        <v>1</v>
      </c>
      <c r="G213" s="130">
        <v>0.65</v>
      </c>
      <c r="H213" s="6"/>
      <c r="I213" s="6">
        <v>0.2</v>
      </c>
      <c r="J213" s="129">
        <v>1</v>
      </c>
      <c r="K213" s="7"/>
      <c r="L213" s="7">
        <f>(H213+I213)*G213*F213*J213</f>
        <v>0.13</v>
      </c>
      <c r="M213" s="180"/>
      <c r="N213" s="180"/>
      <c r="O213" s="180"/>
      <c r="P213" s="180"/>
    </row>
    <row r="214" spans="3:16" s="170" customFormat="1" x14ac:dyDescent="0.3">
      <c r="C214" s="181"/>
      <c r="D214" s="201" t="s">
        <v>407</v>
      </c>
      <c r="E214" s="202"/>
      <c r="F214" s="187"/>
      <c r="G214" s="200"/>
      <c r="H214" s="200"/>
      <c r="I214" s="200"/>
      <c r="J214" s="196"/>
      <c r="K214" s="188"/>
      <c r="L214" s="188"/>
      <c r="M214" s="180"/>
      <c r="N214" s="180"/>
      <c r="O214" s="180"/>
      <c r="P214" s="180"/>
    </row>
    <row r="215" spans="3:16" s="170" customFormat="1" x14ac:dyDescent="0.3">
      <c r="C215" s="181"/>
      <c r="D215" s="207" t="s">
        <v>408</v>
      </c>
      <c r="E215" s="124"/>
      <c r="F215" s="5"/>
      <c r="G215" s="6"/>
      <c r="H215" s="6"/>
      <c r="I215" s="6"/>
      <c r="J215" s="125"/>
      <c r="K215" s="7"/>
      <c r="L215" s="7"/>
      <c r="M215" s="180"/>
      <c r="N215" s="180"/>
      <c r="O215" s="180"/>
      <c r="P215" s="180"/>
    </row>
    <row r="216" spans="3:16" s="170" customFormat="1" x14ac:dyDescent="0.3">
      <c r="C216" s="176"/>
      <c r="D216" s="4" t="s">
        <v>310</v>
      </c>
      <c r="E216" s="124" t="s">
        <v>0</v>
      </c>
      <c r="F216" s="129">
        <v>1</v>
      </c>
      <c r="G216" s="130">
        <v>0.75</v>
      </c>
      <c r="H216" s="6"/>
      <c r="I216" s="6">
        <v>0.2</v>
      </c>
      <c r="J216" s="129">
        <v>1</v>
      </c>
      <c r="K216" s="7"/>
      <c r="L216" s="7">
        <f t="shared" ref="L216:L235" si="14">(H216+I216)*G216*F216*J216</f>
        <v>0.15000000000000002</v>
      </c>
      <c r="M216" s="180"/>
      <c r="N216" s="180"/>
      <c r="O216" s="180"/>
      <c r="P216" s="180"/>
    </row>
    <row r="217" spans="3:16" s="170" customFormat="1" x14ac:dyDescent="0.3">
      <c r="C217" s="176"/>
      <c r="D217" s="4" t="s">
        <v>311</v>
      </c>
      <c r="E217" s="124" t="s">
        <v>0</v>
      </c>
      <c r="F217" s="129">
        <v>1</v>
      </c>
      <c r="G217" s="130">
        <v>0.8</v>
      </c>
      <c r="H217" s="6"/>
      <c r="I217" s="6">
        <v>0.2</v>
      </c>
      <c r="J217" s="129">
        <v>1</v>
      </c>
      <c r="K217" s="7"/>
      <c r="L217" s="7">
        <f t="shared" si="14"/>
        <v>0.16000000000000003</v>
      </c>
      <c r="M217" s="180"/>
      <c r="N217" s="180"/>
      <c r="O217" s="180"/>
      <c r="P217" s="180"/>
    </row>
    <row r="218" spans="3:16" s="170" customFormat="1" x14ac:dyDescent="0.3">
      <c r="C218" s="176"/>
      <c r="D218" s="4" t="s">
        <v>334</v>
      </c>
      <c r="E218" s="124" t="s">
        <v>0</v>
      </c>
      <c r="F218" s="129">
        <v>1</v>
      </c>
      <c r="G218" s="130">
        <v>0.77</v>
      </c>
      <c r="H218" s="6"/>
      <c r="I218" s="6">
        <v>0.2</v>
      </c>
      <c r="J218" s="129">
        <v>1</v>
      </c>
      <c r="K218" s="7"/>
      <c r="L218" s="7">
        <f t="shared" si="14"/>
        <v>0.15400000000000003</v>
      </c>
      <c r="M218" s="180"/>
      <c r="N218" s="180"/>
      <c r="O218" s="180"/>
      <c r="P218" s="180"/>
    </row>
    <row r="219" spans="3:16" s="170" customFormat="1" x14ac:dyDescent="0.3">
      <c r="C219" s="176"/>
      <c r="D219" s="4" t="s">
        <v>335</v>
      </c>
      <c r="E219" s="124" t="s">
        <v>0</v>
      </c>
      <c r="F219" s="129">
        <v>1</v>
      </c>
      <c r="G219" s="130">
        <v>0.76</v>
      </c>
      <c r="H219" s="6"/>
      <c r="I219" s="6">
        <v>0.2</v>
      </c>
      <c r="J219" s="129">
        <v>1</v>
      </c>
      <c r="K219" s="7"/>
      <c r="L219" s="7">
        <f t="shared" si="14"/>
        <v>0.15200000000000002</v>
      </c>
      <c r="M219" s="180"/>
      <c r="N219" s="180"/>
      <c r="O219" s="180"/>
      <c r="P219" s="180"/>
    </row>
    <row r="220" spans="3:16" s="170" customFormat="1" x14ac:dyDescent="0.3">
      <c r="C220" s="176"/>
      <c r="D220" s="4" t="s">
        <v>336</v>
      </c>
      <c r="E220" s="124" t="s">
        <v>0</v>
      </c>
      <c r="F220" s="129">
        <v>1</v>
      </c>
      <c r="G220" s="130">
        <v>0.77</v>
      </c>
      <c r="H220" s="6"/>
      <c r="I220" s="6">
        <v>0.2</v>
      </c>
      <c r="J220" s="129">
        <v>1</v>
      </c>
      <c r="K220" s="7"/>
      <c r="L220" s="7">
        <f t="shared" si="14"/>
        <v>0.15400000000000003</v>
      </c>
      <c r="M220" s="180"/>
      <c r="N220" s="180"/>
      <c r="O220" s="180"/>
      <c r="P220" s="180"/>
    </row>
    <row r="221" spans="3:16" s="170" customFormat="1" x14ac:dyDescent="0.3">
      <c r="C221" s="176"/>
      <c r="D221" s="4" t="s">
        <v>337</v>
      </c>
      <c r="E221" s="124" t="s">
        <v>0</v>
      </c>
      <c r="F221" s="129">
        <v>1</v>
      </c>
      <c r="G221" s="130">
        <v>0.76</v>
      </c>
      <c r="H221" s="6"/>
      <c r="I221" s="6">
        <v>0.2</v>
      </c>
      <c r="J221" s="129">
        <v>1</v>
      </c>
      <c r="K221" s="7"/>
      <c r="L221" s="7">
        <f t="shared" si="14"/>
        <v>0.15200000000000002</v>
      </c>
      <c r="M221" s="180"/>
      <c r="N221" s="180"/>
      <c r="O221" s="180"/>
      <c r="P221" s="180"/>
    </row>
    <row r="222" spans="3:16" s="170" customFormat="1" x14ac:dyDescent="0.3">
      <c r="C222" s="176"/>
      <c r="D222" s="4" t="s">
        <v>338</v>
      </c>
      <c r="E222" s="124" t="s">
        <v>0</v>
      </c>
      <c r="F222" s="129">
        <v>1</v>
      </c>
      <c r="G222" s="130">
        <v>1</v>
      </c>
      <c r="H222" s="6"/>
      <c r="I222" s="6">
        <v>0.2</v>
      </c>
      <c r="J222" s="129">
        <v>1</v>
      </c>
      <c r="K222" s="7"/>
      <c r="L222" s="7">
        <f t="shared" si="14"/>
        <v>0.2</v>
      </c>
      <c r="M222" s="180"/>
      <c r="N222" s="180"/>
      <c r="O222" s="180"/>
      <c r="P222" s="180"/>
    </row>
    <row r="223" spans="3:16" s="170" customFormat="1" x14ac:dyDescent="0.3">
      <c r="C223" s="176"/>
      <c r="D223" s="4" t="s">
        <v>339</v>
      </c>
      <c r="E223" s="124" t="s">
        <v>0</v>
      </c>
      <c r="F223" s="129">
        <v>1</v>
      </c>
      <c r="G223" s="130">
        <v>1</v>
      </c>
      <c r="H223" s="6"/>
      <c r="I223" s="6">
        <v>0.2</v>
      </c>
      <c r="J223" s="129">
        <v>1</v>
      </c>
      <c r="K223" s="7"/>
      <c r="L223" s="7">
        <f t="shared" si="14"/>
        <v>0.2</v>
      </c>
      <c r="M223" s="180"/>
      <c r="N223" s="180"/>
      <c r="O223" s="180"/>
      <c r="P223" s="180"/>
    </row>
    <row r="224" spans="3:16" s="170" customFormat="1" x14ac:dyDescent="0.3">
      <c r="C224" s="176"/>
      <c r="D224" s="4" t="s">
        <v>340</v>
      </c>
      <c r="E224" s="124" t="s">
        <v>0</v>
      </c>
      <c r="F224" s="129">
        <v>1</v>
      </c>
      <c r="G224" s="130">
        <v>1</v>
      </c>
      <c r="H224" s="6"/>
      <c r="I224" s="6">
        <v>0.2</v>
      </c>
      <c r="J224" s="129">
        <v>1</v>
      </c>
      <c r="K224" s="7"/>
      <c r="L224" s="7">
        <f t="shared" si="14"/>
        <v>0.2</v>
      </c>
      <c r="M224" s="180"/>
      <c r="N224" s="180"/>
      <c r="O224" s="180"/>
      <c r="P224" s="180"/>
    </row>
    <row r="225" spans="3:16" s="170" customFormat="1" x14ac:dyDescent="0.3">
      <c r="C225" s="176"/>
      <c r="D225" s="4" t="s">
        <v>341</v>
      </c>
      <c r="E225" s="124" t="s">
        <v>0</v>
      </c>
      <c r="F225" s="129">
        <v>1</v>
      </c>
      <c r="G225" s="130">
        <v>0.76</v>
      </c>
      <c r="H225" s="6"/>
      <c r="I225" s="6">
        <v>0.2</v>
      </c>
      <c r="J225" s="129">
        <v>1</v>
      </c>
      <c r="K225" s="7"/>
      <c r="L225" s="7">
        <f t="shared" si="14"/>
        <v>0.15200000000000002</v>
      </c>
      <c r="M225" s="180"/>
      <c r="N225" s="180"/>
      <c r="O225" s="180"/>
      <c r="P225" s="180"/>
    </row>
    <row r="226" spans="3:16" s="170" customFormat="1" x14ac:dyDescent="0.3">
      <c r="C226" s="176"/>
      <c r="D226" s="4" t="s">
        <v>342</v>
      </c>
      <c r="E226" s="124" t="s">
        <v>0</v>
      </c>
      <c r="F226" s="129">
        <v>1</v>
      </c>
      <c r="G226" s="130">
        <v>0.77</v>
      </c>
      <c r="H226" s="6"/>
      <c r="I226" s="6">
        <v>0.2</v>
      </c>
      <c r="J226" s="129">
        <v>1</v>
      </c>
      <c r="K226" s="7"/>
      <c r="L226" s="7">
        <f t="shared" si="14"/>
        <v>0.15400000000000003</v>
      </c>
      <c r="M226" s="180"/>
      <c r="N226" s="180"/>
      <c r="O226" s="180"/>
      <c r="P226" s="180"/>
    </row>
    <row r="227" spans="3:16" s="170" customFormat="1" x14ac:dyDescent="0.3">
      <c r="C227" s="176"/>
      <c r="D227" s="4" t="s">
        <v>343</v>
      </c>
      <c r="E227" s="124" t="s">
        <v>0</v>
      </c>
      <c r="F227" s="129">
        <v>1</v>
      </c>
      <c r="G227" s="130">
        <v>0.76</v>
      </c>
      <c r="H227" s="6"/>
      <c r="I227" s="6">
        <v>0.2</v>
      </c>
      <c r="J227" s="129">
        <v>1</v>
      </c>
      <c r="K227" s="7"/>
      <c r="L227" s="7">
        <f t="shared" si="14"/>
        <v>0.15200000000000002</v>
      </c>
      <c r="M227" s="180"/>
      <c r="N227" s="180"/>
      <c r="O227" s="180"/>
      <c r="P227" s="180"/>
    </row>
    <row r="228" spans="3:16" s="170" customFormat="1" x14ac:dyDescent="0.3">
      <c r="C228" s="176"/>
      <c r="D228" s="4" t="s">
        <v>344</v>
      </c>
      <c r="E228" s="124" t="s">
        <v>0</v>
      </c>
      <c r="F228" s="129">
        <v>1</v>
      </c>
      <c r="G228" s="130">
        <v>0.77</v>
      </c>
      <c r="H228" s="6"/>
      <c r="I228" s="6">
        <v>0.2</v>
      </c>
      <c r="J228" s="129">
        <v>1</v>
      </c>
      <c r="K228" s="7"/>
      <c r="L228" s="7">
        <f t="shared" si="14"/>
        <v>0.15400000000000003</v>
      </c>
      <c r="M228" s="180"/>
      <c r="N228" s="180"/>
      <c r="O228" s="180"/>
      <c r="P228" s="180"/>
    </row>
    <row r="229" spans="3:16" s="170" customFormat="1" x14ac:dyDescent="0.3">
      <c r="C229" s="176"/>
      <c r="D229" s="4" t="s">
        <v>345</v>
      </c>
      <c r="E229" s="124" t="s">
        <v>0</v>
      </c>
      <c r="F229" s="129">
        <v>1</v>
      </c>
      <c r="G229" s="130">
        <v>0.8</v>
      </c>
      <c r="H229" s="6"/>
      <c r="I229" s="6">
        <v>0.2</v>
      </c>
      <c r="J229" s="129">
        <v>1</v>
      </c>
      <c r="K229" s="7"/>
      <c r="L229" s="7">
        <f t="shared" si="14"/>
        <v>0.16000000000000003</v>
      </c>
      <c r="M229" s="180"/>
      <c r="N229" s="180"/>
      <c r="O229" s="180"/>
      <c r="P229" s="180"/>
    </row>
    <row r="230" spans="3:16" s="170" customFormat="1" x14ac:dyDescent="0.3">
      <c r="C230" s="176"/>
      <c r="D230" s="4" t="s">
        <v>346</v>
      </c>
      <c r="E230" s="124" t="s">
        <v>0</v>
      </c>
      <c r="F230" s="129">
        <v>1</v>
      </c>
      <c r="G230" s="130">
        <v>0.75</v>
      </c>
      <c r="H230" s="6"/>
      <c r="I230" s="6">
        <v>0.2</v>
      </c>
      <c r="J230" s="129">
        <v>1</v>
      </c>
      <c r="K230" s="7"/>
      <c r="L230" s="7">
        <f t="shared" si="14"/>
        <v>0.15000000000000002</v>
      </c>
      <c r="M230" s="180"/>
      <c r="N230" s="180"/>
      <c r="O230" s="180"/>
      <c r="P230" s="180"/>
    </row>
    <row r="231" spans="3:16" s="170" customFormat="1" x14ac:dyDescent="0.3">
      <c r="C231" s="176"/>
      <c r="D231" s="4" t="s">
        <v>347</v>
      </c>
      <c r="E231" s="124" t="s">
        <v>0</v>
      </c>
      <c r="F231" s="129">
        <v>1</v>
      </c>
      <c r="G231" s="130">
        <v>0.75</v>
      </c>
      <c r="H231" s="6"/>
      <c r="I231" s="6">
        <v>0.2</v>
      </c>
      <c r="J231" s="129">
        <v>1</v>
      </c>
      <c r="K231" s="7"/>
      <c r="L231" s="7">
        <f t="shared" si="14"/>
        <v>0.15000000000000002</v>
      </c>
      <c r="M231" s="180"/>
      <c r="N231" s="180"/>
      <c r="O231" s="180"/>
      <c r="P231" s="180"/>
    </row>
    <row r="232" spans="3:16" s="170" customFormat="1" x14ac:dyDescent="0.3">
      <c r="C232" s="181"/>
      <c r="D232" s="4" t="s">
        <v>409</v>
      </c>
      <c r="E232" s="124" t="s">
        <v>0</v>
      </c>
      <c r="F232" s="129">
        <v>1</v>
      </c>
      <c r="G232" s="130">
        <v>1.77</v>
      </c>
      <c r="H232" s="6"/>
      <c r="I232" s="6">
        <v>0.2</v>
      </c>
      <c r="J232" s="129">
        <v>1</v>
      </c>
      <c r="K232" s="7"/>
      <c r="L232" s="7">
        <f t="shared" si="14"/>
        <v>0.35400000000000004</v>
      </c>
      <c r="M232" s="180"/>
      <c r="N232" s="180"/>
      <c r="O232" s="180"/>
      <c r="P232" s="180"/>
    </row>
    <row r="233" spans="3:16" s="170" customFormat="1" x14ac:dyDescent="0.3">
      <c r="C233" s="181"/>
      <c r="D233" s="4" t="s">
        <v>410</v>
      </c>
      <c r="E233" s="124" t="s">
        <v>0</v>
      </c>
      <c r="F233" s="129">
        <v>1</v>
      </c>
      <c r="G233" s="130">
        <v>1.62</v>
      </c>
      <c r="H233" s="6"/>
      <c r="I233" s="6">
        <v>0.2</v>
      </c>
      <c r="J233" s="129">
        <v>1</v>
      </c>
      <c r="K233" s="7"/>
      <c r="L233" s="7">
        <f t="shared" si="14"/>
        <v>0.32400000000000007</v>
      </c>
      <c r="M233" s="180"/>
      <c r="N233" s="180"/>
      <c r="O233" s="180"/>
      <c r="P233" s="180"/>
    </row>
    <row r="234" spans="3:16" s="170" customFormat="1" x14ac:dyDescent="0.3">
      <c r="C234" s="181"/>
      <c r="D234" s="4" t="s">
        <v>411</v>
      </c>
      <c r="E234" s="124" t="s">
        <v>0</v>
      </c>
      <c r="F234" s="129">
        <v>1</v>
      </c>
      <c r="G234" s="130">
        <v>1.63</v>
      </c>
      <c r="H234" s="6"/>
      <c r="I234" s="6">
        <v>0.2</v>
      </c>
      <c r="J234" s="129">
        <v>1</v>
      </c>
      <c r="K234" s="7"/>
      <c r="L234" s="7">
        <f t="shared" si="14"/>
        <v>0.32600000000000001</v>
      </c>
      <c r="M234" s="180"/>
      <c r="N234" s="180"/>
      <c r="O234" s="180"/>
      <c r="P234" s="180"/>
    </row>
    <row r="235" spans="3:16" s="170" customFormat="1" x14ac:dyDescent="0.3">
      <c r="C235" s="181"/>
      <c r="D235" s="4" t="s">
        <v>412</v>
      </c>
      <c r="E235" s="124" t="s">
        <v>0</v>
      </c>
      <c r="F235" s="129">
        <v>1</v>
      </c>
      <c r="G235" s="130">
        <v>1.77</v>
      </c>
      <c r="H235" s="6"/>
      <c r="I235" s="6">
        <v>0.2</v>
      </c>
      <c r="J235" s="129">
        <v>1</v>
      </c>
      <c r="K235" s="7"/>
      <c r="L235" s="7">
        <f t="shared" si="14"/>
        <v>0.35400000000000004</v>
      </c>
      <c r="M235" s="180"/>
      <c r="N235" s="180"/>
      <c r="O235" s="180"/>
      <c r="P235" s="180"/>
    </row>
    <row r="236" spans="3:16" s="170" customFormat="1" x14ac:dyDescent="0.3">
      <c r="C236" s="181"/>
      <c r="D236" s="201" t="s">
        <v>106</v>
      </c>
      <c r="E236" s="202"/>
      <c r="F236" s="187"/>
      <c r="G236" s="200"/>
      <c r="H236" s="200"/>
      <c r="I236" s="191" t="s">
        <v>392</v>
      </c>
      <c r="J236" s="196"/>
      <c r="K236" s="188"/>
      <c r="L236" s="188"/>
      <c r="M236" s="180"/>
      <c r="N236" s="180"/>
      <c r="O236" s="180"/>
      <c r="P236" s="180"/>
    </row>
    <row r="237" spans="3:16" s="170" customFormat="1" x14ac:dyDescent="0.3">
      <c r="C237" s="181"/>
      <c r="D237" s="207" t="s">
        <v>403</v>
      </c>
      <c r="E237" s="124"/>
      <c r="F237" s="5"/>
      <c r="G237" s="6"/>
      <c r="H237" s="6"/>
      <c r="I237" s="6"/>
      <c r="J237" s="125"/>
      <c r="K237" s="7"/>
      <c r="L237" s="7"/>
      <c r="M237" s="180"/>
      <c r="N237" s="180"/>
      <c r="O237" s="180"/>
      <c r="P237" s="180"/>
    </row>
    <row r="238" spans="3:16" s="170" customFormat="1" x14ac:dyDescent="0.3">
      <c r="C238" s="181"/>
      <c r="D238" s="4" t="s">
        <v>413</v>
      </c>
      <c r="E238" s="124" t="s">
        <v>0</v>
      </c>
      <c r="F238" s="129">
        <v>1</v>
      </c>
      <c r="G238" s="130">
        <v>0.65</v>
      </c>
      <c r="H238" s="6">
        <f t="shared" ref="H238:H254" si="15">0.2*2</f>
        <v>0.4</v>
      </c>
      <c r="I238" s="6">
        <f t="shared" ref="I238:I254" si="16">0.15*2</f>
        <v>0.3</v>
      </c>
      <c r="J238" s="129">
        <v>1</v>
      </c>
      <c r="K238" s="7"/>
      <c r="L238" s="7">
        <f t="shared" ref="L238:L254" si="17">(H238+I238)*G238*F238*J238</f>
        <v>0.45499999999999996</v>
      </c>
      <c r="M238" s="180"/>
      <c r="N238" s="180"/>
      <c r="O238" s="180"/>
      <c r="P238" s="180"/>
    </row>
    <row r="239" spans="3:16" s="170" customFormat="1" x14ac:dyDescent="0.3">
      <c r="C239" s="176"/>
      <c r="D239" s="4" t="s">
        <v>310</v>
      </c>
      <c r="E239" s="124" t="s">
        <v>0</v>
      </c>
      <c r="F239" s="129">
        <v>1</v>
      </c>
      <c r="G239" s="130">
        <v>0.75</v>
      </c>
      <c r="H239" s="6">
        <f t="shared" si="15"/>
        <v>0.4</v>
      </c>
      <c r="I239" s="6">
        <f t="shared" si="16"/>
        <v>0.3</v>
      </c>
      <c r="J239" s="129">
        <v>1</v>
      </c>
      <c r="K239" s="7"/>
      <c r="L239" s="7">
        <f t="shared" si="17"/>
        <v>0.52499999999999991</v>
      </c>
      <c r="M239" s="180"/>
      <c r="N239" s="180"/>
      <c r="O239" s="180"/>
      <c r="P239" s="180"/>
    </row>
    <row r="240" spans="3:16" s="170" customFormat="1" x14ac:dyDescent="0.3">
      <c r="C240" s="176"/>
      <c r="D240" s="4" t="s">
        <v>311</v>
      </c>
      <c r="E240" s="124" t="s">
        <v>0</v>
      </c>
      <c r="F240" s="129">
        <v>1</v>
      </c>
      <c r="G240" s="130">
        <v>0.8</v>
      </c>
      <c r="H240" s="6">
        <f t="shared" si="15"/>
        <v>0.4</v>
      </c>
      <c r="I240" s="6">
        <f t="shared" si="16"/>
        <v>0.3</v>
      </c>
      <c r="J240" s="129">
        <v>1</v>
      </c>
      <c r="K240" s="7"/>
      <c r="L240" s="7">
        <f t="shared" si="17"/>
        <v>0.55999999999999994</v>
      </c>
      <c r="M240" s="180"/>
      <c r="N240" s="180"/>
      <c r="O240" s="180"/>
      <c r="P240" s="180"/>
    </row>
    <row r="241" spans="3:16" s="170" customFormat="1" x14ac:dyDescent="0.3">
      <c r="C241" s="176"/>
      <c r="D241" s="4" t="s">
        <v>334</v>
      </c>
      <c r="E241" s="124" t="s">
        <v>0</v>
      </c>
      <c r="F241" s="129">
        <v>1</v>
      </c>
      <c r="G241" s="130">
        <v>0.77</v>
      </c>
      <c r="H241" s="6">
        <f t="shared" si="15"/>
        <v>0.4</v>
      </c>
      <c r="I241" s="6">
        <f t="shared" si="16"/>
        <v>0.3</v>
      </c>
      <c r="J241" s="129">
        <v>1</v>
      </c>
      <c r="K241" s="7"/>
      <c r="L241" s="7">
        <f t="shared" si="17"/>
        <v>0.53899999999999992</v>
      </c>
      <c r="M241" s="180"/>
      <c r="N241" s="180"/>
      <c r="O241" s="180"/>
      <c r="P241" s="180"/>
    </row>
    <row r="242" spans="3:16" s="170" customFormat="1" x14ac:dyDescent="0.3">
      <c r="C242" s="176"/>
      <c r="D242" s="4" t="s">
        <v>335</v>
      </c>
      <c r="E242" s="124" t="s">
        <v>0</v>
      </c>
      <c r="F242" s="129">
        <v>1</v>
      </c>
      <c r="G242" s="130">
        <v>0.76</v>
      </c>
      <c r="H242" s="6">
        <f t="shared" si="15"/>
        <v>0.4</v>
      </c>
      <c r="I242" s="6">
        <f t="shared" si="16"/>
        <v>0.3</v>
      </c>
      <c r="J242" s="129">
        <v>1</v>
      </c>
      <c r="K242" s="7"/>
      <c r="L242" s="7">
        <f t="shared" si="17"/>
        <v>0.53199999999999992</v>
      </c>
      <c r="M242" s="180"/>
      <c r="N242" s="180"/>
      <c r="O242" s="180"/>
      <c r="P242" s="180"/>
    </row>
    <row r="243" spans="3:16" s="170" customFormat="1" x14ac:dyDescent="0.3">
      <c r="C243" s="176"/>
      <c r="D243" s="4" t="s">
        <v>336</v>
      </c>
      <c r="E243" s="124" t="s">
        <v>0</v>
      </c>
      <c r="F243" s="129">
        <v>1</v>
      </c>
      <c r="G243" s="130">
        <v>0.77</v>
      </c>
      <c r="H243" s="6">
        <f t="shared" si="15"/>
        <v>0.4</v>
      </c>
      <c r="I243" s="6">
        <f t="shared" si="16"/>
        <v>0.3</v>
      </c>
      <c r="J243" s="129">
        <v>1</v>
      </c>
      <c r="K243" s="7"/>
      <c r="L243" s="7">
        <f t="shared" si="17"/>
        <v>0.53899999999999992</v>
      </c>
      <c r="M243" s="180"/>
      <c r="N243" s="180"/>
      <c r="O243" s="180"/>
      <c r="P243" s="180"/>
    </row>
    <row r="244" spans="3:16" s="170" customFormat="1" x14ac:dyDescent="0.3">
      <c r="C244" s="176"/>
      <c r="D244" s="4" t="s">
        <v>337</v>
      </c>
      <c r="E244" s="124" t="s">
        <v>0</v>
      </c>
      <c r="F244" s="129">
        <v>1</v>
      </c>
      <c r="G244" s="130">
        <v>0.76</v>
      </c>
      <c r="H244" s="6">
        <f t="shared" si="15"/>
        <v>0.4</v>
      </c>
      <c r="I244" s="6">
        <f t="shared" si="16"/>
        <v>0.3</v>
      </c>
      <c r="J244" s="129">
        <v>1</v>
      </c>
      <c r="K244" s="7"/>
      <c r="L244" s="7">
        <f t="shared" si="17"/>
        <v>0.53199999999999992</v>
      </c>
      <c r="M244" s="180"/>
      <c r="N244" s="180"/>
      <c r="O244" s="180"/>
      <c r="P244" s="180"/>
    </row>
    <row r="245" spans="3:16" s="170" customFormat="1" x14ac:dyDescent="0.3">
      <c r="C245" s="176"/>
      <c r="D245" s="4" t="s">
        <v>338</v>
      </c>
      <c r="E245" s="124" t="s">
        <v>0</v>
      </c>
      <c r="F245" s="129">
        <v>1</v>
      </c>
      <c r="G245" s="130">
        <v>1</v>
      </c>
      <c r="H245" s="6">
        <f t="shared" si="15"/>
        <v>0.4</v>
      </c>
      <c r="I245" s="6">
        <f t="shared" si="16"/>
        <v>0.3</v>
      </c>
      <c r="J245" s="129">
        <v>1</v>
      </c>
      <c r="K245" s="7"/>
      <c r="L245" s="7">
        <f t="shared" si="17"/>
        <v>0.7</v>
      </c>
      <c r="M245" s="180"/>
      <c r="N245" s="180"/>
      <c r="O245" s="180"/>
      <c r="P245" s="180"/>
    </row>
    <row r="246" spans="3:16" s="170" customFormat="1" x14ac:dyDescent="0.3">
      <c r="C246" s="176"/>
      <c r="D246" s="4" t="s">
        <v>339</v>
      </c>
      <c r="E246" s="124" t="s">
        <v>0</v>
      </c>
      <c r="F246" s="129">
        <v>1</v>
      </c>
      <c r="G246" s="130">
        <v>1</v>
      </c>
      <c r="H246" s="6">
        <f t="shared" si="15"/>
        <v>0.4</v>
      </c>
      <c r="I246" s="6">
        <f t="shared" si="16"/>
        <v>0.3</v>
      </c>
      <c r="J246" s="129">
        <v>1</v>
      </c>
      <c r="K246" s="7"/>
      <c r="L246" s="7">
        <f t="shared" si="17"/>
        <v>0.7</v>
      </c>
      <c r="M246" s="180"/>
      <c r="N246" s="180"/>
      <c r="O246" s="180"/>
      <c r="P246" s="180"/>
    </row>
    <row r="247" spans="3:16" s="170" customFormat="1" x14ac:dyDescent="0.3">
      <c r="C247" s="176"/>
      <c r="D247" s="4" t="s">
        <v>340</v>
      </c>
      <c r="E247" s="124" t="s">
        <v>0</v>
      </c>
      <c r="F247" s="129">
        <v>1</v>
      </c>
      <c r="G247" s="130">
        <v>1</v>
      </c>
      <c r="H247" s="6">
        <f t="shared" si="15"/>
        <v>0.4</v>
      </c>
      <c r="I247" s="6">
        <f t="shared" si="16"/>
        <v>0.3</v>
      </c>
      <c r="J247" s="129">
        <v>1</v>
      </c>
      <c r="K247" s="7"/>
      <c r="L247" s="7">
        <f t="shared" si="17"/>
        <v>0.7</v>
      </c>
      <c r="M247" s="180"/>
      <c r="N247" s="180"/>
      <c r="O247" s="180"/>
      <c r="P247" s="180"/>
    </row>
    <row r="248" spans="3:16" s="170" customFormat="1" x14ac:dyDescent="0.3">
      <c r="C248" s="176"/>
      <c r="D248" s="4" t="s">
        <v>341</v>
      </c>
      <c r="E248" s="124" t="s">
        <v>0</v>
      </c>
      <c r="F248" s="129">
        <v>1</v>
      </c>
      <c r="G248" s="130">
        <v>0.76</v>
      </c>
      <c r="H248" s="6">
        <f t="shared" si="15"/>
        <v>0.4</v>
      </c>
      <c r="I248" s="6">
        <f t="shared" si="16"/>
        <v>0.3</v>
      </c>
      <c r="J248" s="129">
        <v>1</v>
      </c>
      <c r="K248" s="7"/>
      <c r="L248" s="7">
        <f t="shared" si="17"/>
        <v>0.53199999999999992</v>
      </c>
      <c r="M248" s="180"/>
      <c r="N248" s="180"/>
      <c r="O248" s="180"/>
      <c r="P248" s="180"/>
    </row>
    <row r="249" spans="3:16" s="170" customFormat="1" x14ac:dyDescent="0.3">
      <c r="C249" s="176"/>
      <c r="D249" s="4" t="s">
        <v>342</v>
      </c>
      <c r="E249" s="124" t="s">
        <v>0</v>
      </c>
      <c r="F249" s="129">
        <v>1</v>
      </c>
      <c r="G249" s="130">
        <v>0.77</v>
      </c>
      <c r="H249" s="6">
        <f t="shared" si="15"/>
        <v>0.4</v>
      </c>
      <c r="I249" s="6">
        <f t="shared" si="16"/>
        <v>0.3</v>
      </c>
      <c r="J249" s="129">
        <v>1</v>
      </c>
      <c r="K249" s="7"/>
      <c r="L249" s="7">
        <f t="shared" si="17"/>
        <v>0.53899999999999992</v>
      </c>
      <c r="M249" s="180"/>
      <c r="N249" s="180"/>
      <c r="O249" s="180"/>
      <c r="P249" s="180"/>
    </row>
    <row r="250" spans="3:16" s="170" customFormat="1" x14ac:dyDescent="0.3">
      <c r="C250" s="176"/>
      <c r="D250" s="4" t="s">
        <v>343</v>
      </c>
      <c r="E250" s="124" t="s">
        <v>0</v>
      </c>
      <c r="F250" s="129">
        <v>1</v>
      </c>
      <c r="G250" s="130">
        <v>0.76</v>
      </c>
      <c r="H250" s="6">
        <f t="shared" si="15"/>
        <v>0.4</v>
      </c>
      <c r="I250" s="6">
        <f t="shared" si="16"/>
        <v>0.3</v>
      </c>
      <c r="J250" s="129">
        <v>1</v>
      </c>
      <c r="K250" s="7"/>
      <c r="L250" s="7">
        <f t="shared" si="17"/>
        <v>0.53199999999999992</v>
      </c>
      <c r="M250" s="180"/>
      <c r="N250" s="180"/>
      <c r="O250" s="180"/>
      <c r="P250" s="180"/>
    </row>
    <row r="251" spans="3:16" s="170" customFormat="1" x14ac:dyDescent="0.3">
      <c r="C251" s="176"/>
      <c r="D251" s="4" t="s">
        <v>344</v>
      </c>
      <c r="E251" s="124" t="s">
        <v>0</v>
      </c>
      <c r="F251" s="129">
        <v>1</v>
      </c>
      <c r="G251" s="130">
        <v>0.77</v>
      </c>
      <c r="H251" s="6">
        <f t="shared" si="15"/>
        <v>0.4</v>
      </c>
      <c r="I251" s="6">
        <f t="shared" si="16"/>
        <v>0.3</v>
      </c>
      <c r="J251" s="129">
        <v>1</v>
      </c>
      <c r="K251" s="7"/>
      <c r="L251" s="7">
        <f t="shared" si="17"/>
        <v>0.53899999999999992</v>
      </c>
      <c r="M251" s="180"/>
      <c r="N251" s="180"/>
      <c r="O251" s="180"/>
      <c r="P251" s="180"/>
    </row>
    <row r="252" spans="3:16" s="170" customFormat="1" x14ac:dyDescent="0.3">
      <c r="C252" s="176"/>
      <c r="D252" s="4" t="s">
        <v>345</v>
      </c>
      <c r="E252" s="124" t="s">
        <v>0</v>
      </c>
      <c r="F252" s="129">
        <v>1</v>
      </c>
      <c r="G252" s="130">
        <v>0.8</v>
      </c>
      <c r="H252" s="6">
        <f t="shared" si="15"/>
        <v>0.4</v>
      </c>
      <c r="I252" s="6">
        <f t="shared" si="16"/>
        <v>0.3</v>
      </c>
      <c r="J252" s="129">
        <v>1</v>
      </c>
      <c r="K252" s="7"/>
      <c r="L252" s="7">
        <f t="shared" si="17"/>
        <v>0.55999999999999994</v>
      </c>
      <c r="M252" s="180"/>
      <c r="N252" s="180"/>
      <c r="O252" s="180"/>
      <c r="P252" s="180"/>
    </row>
    <row r="253" spans="3:16" s="170" customFormat="1" x14ac:dyDescent="0.3">
      <c r="C253" s="176"/>
      <c r="D253" s="4" t="s">
        <v>346</v>
      </c>
      <c r="E253" s="124" t="s">
        <v>0</v>
      </c>
      <c r="F253" s="129">
        <v>1</v>
      </c>
      <c r="G253" s="130">
        <v>0.75</v>
      </c>
      <c r="H253" s="6">
        <f t="shared" si="15"/>
        <v>0.4</v>
      </c>
      <c r="I253" s="6">
        <f t="shared" si="16"/>
        <v>0.3</v>
      </c>
      <c r="J253" s="129">
        <v>1</v>
      </c>
      <c r="K253" s="7"/>
      <c r="L253" s="7">
        <f t="shared" si="17"/>
        <v>0.52499999999999991</v>
      </c>
      <c r="M253" s="180"/>
      <c r="N253" s="180"/>
      <c r="O253" s="180"/>
      <c r="P253" s="180"/>
    </row>
    <row r="254" spans="3:16" s="170" customFormat="1" x14ac:dyDescent="0.3">
      <c r="C254" s="176"/>
      <c r="D254" s="4" t="s">
        <v>347</v>
      </c>
      <c r="E254" s="124" t="s">
        <v>0</v>
      </c>
      <c r="F254" s="129">
        <v>1</v>
      </c>
      <c r="G254" s="130">
        <v>0.75</v>
      </c>
      <c r="H254" s="6">
        <f t="shared" si="15"/>
        <v>0.4</v>
      </c>
      <c r="I254" s="6">
        <f t="shared" si="16"/>
        <v>0.3</v>
      </c>
      <c r="J254" s="129">
        <v>1</v>
      </c>
      <c r="K254" s="7"/>
      <c r="L254" s="7">
        <f t="shared" si="17"/>
        <v>0.52499999999999991</v>
      </c>
      <c r="M254" s="180"/>
      <c r="N254" s="180"/>
      <c r="O254" s="180"/>
      <c r="P254" s="180"/>
    </row>
    <row r="255" spans="3:16" s="170" customFormat="1" x14ac:dyDescent="0.3">
      <c r="C255" s="176"/>
      <c r="D255" s="207" t="s">
        <v>414</v>
      </c>
      <c r="E255" s="124"/>
      <c r="F255" s="5"/>
      <c r="G255" s="6"/>
      <c r="H255" s="6"/>
      <c r="I255" s="6"/>
      <c r="J255" s="5"/>
      <c r="K255" s="7"/>
      <c r="L255" s="7"/>
      <c r="M255" s="180"/>
      <c r="N255" s="180"/>
      <c r="O255" s="180"/>
      <c r="P255" s="180"/>
    </row>
    <row r="256" spans="3:16" s="170" customFormat="1" x14ac:dyDescent="0.3">
      <c r="C256" s="176"/>
      <c r="D256" s="4" t="s">
        <v>415</v>
      </c>
      <c r="E256" s="124" t="s">
        <v>0</v>
      </c>
      <c r="F256" s="5">
        <v>1</v>
      </c>
      <c r="G256" s="6">
        <v>19.79</v>
      </c>
      <c r="H256" s="6"/>
      <c r="I256" s="6">
        <v>0.2</v>
      </c>
      <c r="J256" s="125">
        <v>1</v>
      </c>
      <c r="K256" s="7"/>
      <c r="L256" s="7">
        <f t="shared" ref="L256" si="18">IF(F256="","",PRODUCT(F256:J256))</f>
        <v>3.9580000000000002</v>
      </c>
      <c r="M256" s="180"/>
      <c r="N256" s="180"/>
      <c r="O256" s="180"/>
      <c r="P256" s="180"/>
    </row>
    <row r="257" spans="1:16" s="170" customFormat="1" x14ac:dyDescent="0.3">
      <c r="C257" s="181"/>
      <c r="D257" s="201"/>
      <c r="E257" s="193"/>
      <c r="F257" s="160"/>
      <c r="G257" s="191"/>
      <c r="H257" s="191"/>
      <c r="I257" s="191"/>
      <c r="J257" s="190"/>
      <c r="K257" s="180"/>
      <c r="L257" s="180"/>
      <c r="M257" s="180"/>
      <c r="N257" s="180"/>
      <c r="O257" s="180"/>
      <c r="P257" s="180"/>
    </row>
    <row r="258" spans="1:16" x14ac:dyDescent="0.3">
      <c r="A258" s="8">
        <v>3</v>
      </c>
      <c r="C258" s="99" t="s">
        <v>1184</v>
      </c>
      <c r="D258" s="100" t="s">
        <v>420</v>
      </c>
      <c r="E258" s="132" t="s">
        <v>0</v>
      </c>
      <c r="F258" s="1"/>
      <c r="G258" s="2"/>
      <c r="H258" s="2"/>
      <c r="I258" s="2"/>
      <c r="J258" s="3"/>
      <c r="K258" s="122"/>
      <c r="L258" s="122"/>
      <c r="M258" s="103"/>
      <c r="N258" s="103"/>
      <c r="O258" s="103"/>
      <c r="P258" s="103">
        <f>SUM(L258:L275)</f>
        <v>12.956999999999999</v>
      </c>
    </row>
    <row r="259" spans="1:16" x14ac:dyDescent="0.3">
      <c r="C259" s="176"/>
      <c r="D259" s="205" t="s">
        <v>127</v>
      </c>
      <c r="E259" s="101"/>
      <c r="F259" s="1"/>
      <c r="G259" s="2"/>
      <c r="H259" s="2"/>
      <c r="I259" s="2"/>
      <c r="J259" s="119"/>
      <c r="K259" s="122"/>
      <c r="L259" s="122"/>
      <c r="M259" s="180"/>
      <c r="N259" s="180"/>
      <c r="O259" s="180"/>
      <c r="P259" s="180"/>
    </row>
    <row r="260" spans="1:16" x14ac:dyDescent="0.3">
      <c r="C260" s="176"/>
      <c r="D260" s="140" t="s">
        <v>266</v>
      </c>
      <c r="E260" s="101"/>
      <c r="F260" s="1"/>
      <c r="G260" s="2"/>
      <c r="H260" s="2"/>
      <c r="I260" s="2"/>
      <c r="J260" s="119"/>
      <c r="K260" s="122"/>
      <c r="L260" s="122"/>
      <c r="M260" s="180"/>
      <c r="N260" s="180"/>
      <c r="O260" s="180"/>
      <c r="P260" s="180"/>
    </row>
    <row r="261" spans="1:16" x14ac:dyDescent="0.3">
      <c r="C261" s="176"/>
      <c r="D261" s="4" t="s">
        <v>125</v>
      </c>
      <c r="E261" s="124" t="s">
        <v>0</v>
      </c>
      <c r="F261" s="5">
        <v>1</v>
      </c>
      <c r="G261" s="6">
        <v>0.15</v>
      </c>
      <c r="H261" s="6">
        <v>0.7</v>
      </c>
      <c r="I261" s="6">
        <v>0.95</v>
      </c>
      <c r="J261" s="125">
        <v>1</v>
      </c>
      <c r="K261" s="7"/>
      <c r="L261" s="7">
        <f>((H261+I261)*2)*F261*G261*J261</f>
        <v>0.49499999999999994</v>
      </c>
      <c r="M261" s="180"/>
      <c r="N261" s="180"/>
      <c r="O261" s="180"/>
      <c r="P261" s="180"/>
    </row>
    <row r="262" spans="1:16" x14ac:dyDescent="0.3">
      <c r="C262" s="176"/>
      <c r="D262" s="4" t="s">
        <v>421</v>
      </c>
      <c r="E262" s="124" t="s">
        <v>0</v>
      </c>
      <c r="F262" s="5">
        <v>2</v>
      </c>
      <c r="G262" s="6">
        <v>0.15</v>
      </c>
      <c r="H262" s="6">
        <v>1.55</v>
      </c>
      <c r="I262" s="6">
        <v>0.95</v>
      </c>
      <c r="J262" s="125">
        <v>1</v>
      </c>
      <c r="K262" s="7"/>
      <c r="L262" s="7">
        <f>((H262+I262)*2)*F262*G262*J262</f>
        <v>1.5</v>
      </c>
      <c r="M262" s="180"/>
      <c r="N262" s="180"/>
      <c r="O262" s="180"/>
      <c r="P262" s="180"/>
    </row>
    <row r="263" spans="1:16" x14ac:dyDescent="0.3">
      <c r="C263" s="176"/>
      <c r="D263" s="4" t="s">
        <v>87</v>
      </c>
      <c r="E263" s="124" t="s">
        <v>0</v>
      </c>
      <c r="F263" s="5">
        <v>1</v>
      </c>
      <c r="G263" s="6">
        <v>0.15</v>
      </c>
      <c r="H263" s="6">
        <v>1.74</v>
      </c>
      <c r="I263" s="6">
        <v>0.7</v>
      </c>
      <c r="J263" s="125">
        <v>1</v>
      </c>
      <c r="K263" s="7"/>
      <c r="L263" s="7">
        <f>((H263+I263)*2)*F263*G263*J263</f>
        <v>0.73199999999999998</v>
      </c>
      <c r="M263" s="180"/>
      <c r="N263" s="180"/>
      <c r="O263" s="180"/>
      <c r="P263" s="180"/>
    </row>
    <row r="264" spans="1:16" x14ac:dyDescent="0.3">
      <c r="C264" s="176"/>
      <c r="D264" s="134" t="s">
        <v>136</v>
      </c>
      <c r="E264" s="124" t="s">
        <v>0</v>
      </c>
      <c r="F264" s="5">
        <v>1</v>
      </c>
      <c r="G264" s="6">
        <v>0.15</v>
      </c>
      <c r="H264" s="6">
        <v>0.6</v>
      </c>
      <c r="I264" s="6">
        <v>1.8</v>
      </c>
      <c r="J264" s="125">
        <v>1</v>
      </c>
      <c r="K264" s="7"/>
      <c r="L264" s="7">
        <f>((H264+I264)*2)*F264*G264*J264</f>
        <v>0.72</v>
      </c>
      <c r="M264" s="180"/>
      <c r="N264" s="180"/>
      <c r="O264" s="180"/>
      <c r="P264" s="180"/>
    </row>
    <row r="265" spans="1:16" x14ac:dyDescent="0.3">
      <c r="C265" s="176"/>
      <c r="D265" s="220" t="s">
        <v>129</v>
      </c>
      <c r="E265" s="221"/>
      <c r="F265" s="222"/>
      <c r="G265" s="223"/>
      <c r="H265" s="223"/>
      <c r="I265" s="223"/>
      <c r="J265" s="224"/>
      <c r="K265" s="122"/>
      <c r="L265" s="122"/>
      <c r="M265" s="180"/>
      <c r="N265" s="180"/>
      <c r="O265" s="180"/>
      <c r="P265" s="180"/>
    </row>
    <row r="266" spans="1:16" x14ac:dyDescent="0.3">
      <c r="C266" s="176"/>
      <c r="D266" s="4" t="s">
        <v>422</v>
      </c>
      <c r="E266" s="124" t="s">
        <v>0</v>
      </c>
      <c r="F266" s="5">
        <v>1</v>
      </c>
      <c r="G266" s="6">
        <v>0.15</v>
      </c>
      <c r="H266" s="6">
        <v>1</v>
      </c>
      <c r="I266" s="6">
        <v>2.8</v>
      </c>
      <c r="J266" s="125">
        <v>1</v>
      </c>
      <c r="K266" s="7"/>
      <c r="L266" s="7">
        <f>((H266+I266)*2)*F266*G266*J266</f>
        <v>1.1399999999999999</v>
      </c>
      <c r="M266" s="180"/>
      <c r="N266" s="180"/>
      <c r="O266" s="180"/>
      <c r="P266" s="180"/>
    </row>
    <row r="267" spans="1:16" x14ac:dyDescent="0.3">
      <c r="C267" s="176"/>
      <c r="D267" s="4" t="s">
        <v>423</v>
      </c>
      <c r="E267" s="124" t="s">
        <v>0</v>
      </c>
      <c r="F267" s="5">
        <v>1</v>
      </c>
      <c r="G267" s="6">
        <v>0.15</v>
      </c>
      <c r="H267" s="6">
        <v>0.9</v>
      </c>
      <c r="I267" s="6">
        <v>2.4</v>
      </c>
      <c r="J267" s="125">
        <v>1</v>
      </c>
      <c r="K267" s="7"/>
      <c r="L267" s="7">
        <f>((H267+I267)*2)*F267*G267*J267</f>
        <v>0.98999999999999988</v>
      </c>
      <c r="M267" s="180"/>
      <c r="N267" s="180"/>
      <c r="O267" s="180"/>
      <c r="P267" s="180"/>
    </row>
    <row r="268" spans="1:16" x14ac:dyDescent="0.3">
      <c r="C268" s="176"/>
      <c r="D268" s="117"/>
      <c r="E268" s="116"/>
      <c r="F268" s="109"/>
      <c r="G268" s="110"/>
      <c r="H268" s="110"/>
      <c r="I268" s="110"/>
      <c r="J268" s="112"/>
      <c r="K268" s="122"/>
      <c r="L268" s="122"/>
      <c r="M268" s="180"/>
      <c r="N268" s="180"/>
      <c r="O268" s="180"/>
      <c r="P268" s="180"/>
    </row>
    <row r="269" spans="1:16" x14ac:dyDescent="0.3">
      <c r="C269" s="176"/>
      <c r="D269" s="205" t="s">
        <v>68</v>
      </c>
      <c r="E269" s="101"/>
      <c r="F269" s="1"/>
      <c r="G269" s="2"/>
      <c r="H269" s="2"/>
      <c r="I269" s="2"/>
      <c r="J269" s="119"/>
      <c r="K269" s="122"/>
      <c r="L269" s="122"/>
      <c r="M269" s="180"/>
      <c r="N269" s="180"/>
      <c r="O269" s="180"/>
      <c r="P269" s="180"/>
    </row>
    <row r="270" spans="1:16" x14ac:dyDescent="0.3">
      <c r="C270" s="176"/>
      <c r="D270" s="140" t="s">
        <v>266</v>
      </c>
      <c r="E270" s="101"/>
      <c r="F270" s="1"/>
      <c r="G270" s="2"/>
      <c r="H270" s="2"/>
      <c r="I270" s="2"/>
      <c r="J270" s="119"/>
      <c r="K270" s="122"/>
      <c r="L270" s="122"/>
      <c r="M270" s="180"/>
      <c r="N270" s="180"/>
      <c r="O270" s="180"/>
      <c r="P270" s="180"/>
    </row>
    <row r="271" spans="1:16" x14ac:dyDescent="0.3">
      <c r="C271" s="176"/>
      <c r="D271" s="134" t="s">
        <v>424</v>
      </c>
      <c r="E271" s="124" t="s">
        <v>0</v>
      </c>
      <c r="F271" s="5">
        <v>13</v>
      </c>
      <c r="G271" s="6">
        <v>0.2</v>
      </c>
      <c r="H271" s="6">
        <v>0.3</v>
      </c>
      <c r="I271" s="6">
        <v>0.3</v>
      </c>
      <c r="J271" s="125">
        <v>1</v>
      </c>
      <c r="K271" s="7"/>
      <c r="L271" s="7">
        <f>((H271+I271)*2)*F271*G271*J271</f>
        <v>3.12</v>
      </c>
      <c r="M271" s="180"/>
      <c r="N271" s="180"/>
      <c r="O271" s="180"/>
      <c r="P271" s="180"/>
    </row>
    <row r="272" spans="1:16" x14ac:dyDescent="0.3">
      <c r="C272" s="176"/>
      <c r="D272" s="134" t="s">
        <v>425</v>
      </c>
      <c r="E272" s="124" t="s">
        <v>0</v>
      </c>
      <c r="F272" s="5">
        <v>8</v>
      </c>
      <c r="G272" s="6">
        <v>0.2</v>
      </c>
      <c r="H272" s="6">
        <v>0.3</v>
      </c>
      <c r="I272" s="6">
        <v>0.3</v>
      </c>
      <c r="J272" s="125">
        <v>1</v>
      </c>
      <c r="K272" s="7"/>
      <c r="L272" s="7">
        <f>((H272+I272)*2)*F272*G272*J272</f>
        <v>1.92</v>
      </c>
      <c r="M272" s="180"/>
      <c r="N272" s="180"/>
      <c r="O272" s="180"/>
      <c r="P272" s="180"/>
    </row>
    <row r="273" spans="1:16" x14ac:dyDescent="0.3">
      <c r="C273" s="176"/>
      <c r="D273" s="134" t="s">
        <v>426</v>
      </c>
      <c r="E273" s="124" t="s">
        <v>0</v>
      </c>
      <c r="F273" s="5">
        <v>2</v>
      </c>
      <c r="G273" s="6">
        <v>0.15</v>
      </c>
      <c r="H273" s="6">
        <v>1.5</v>
      </c>
      <c r="I273" s="6">
        <v>0.3</v>
      </c>
      <c r="J273" s="125">
        <v>1</v>
      </c>
      <c r="K273" s="7"/>
      <c r="L273" s="7">
        <f>((H273+I273)*2)*F273*G273*J273</f>
        <v>1.08</v>
      </c>
      <c r="M273" s="180"/>
      <c r="N273" s="180"/>
      <c r="O273" s="180"/>
      <c r="P273" s="180"/>
    </row>
    <row r="274" spans="1:16" x14ac:dyDescent="0.3">
      <c r="C274" s="176"/>
      <c r="D274" s="134"/>
      <c r="E274" s="124" t="s">
        <v>0</v>
      </c>
      <c r="F274" s="5">
        <v>2</v>
      </c>
      <c r="G274" s="6">
        <v>0.15</v>
      </c>
      <c r="H274" s="6">
        <v>1.8</v>
      </c>
      <c r="I274" s="6">
        <v>0.3</v>
      </c>
      <c r="J274" s="125">
        <v>1</v>
      </c>
      <c r="K274" s="7"/>
      <c r="L274" s="7">
        <f>((H274+I274)*2)*F274*G274*J274</f>
        <v>1.26</v>
      </c>
      <c r="M274" s="180"/>
      <c r="N274" s="180"/>
      <c r="O274" s="180"/>
      <c r="P274" s="180"/>
    </row>
    <row r="275" spans="1:16" s="170" customFormat="1" x14ac:dyDescent="0.3">
      <c r="C275" s="176"/>
      <c r="D275" s="201"/>
      <c r="E275" s="193"/>
      <c r="F275" s="160"/>
      <c r="G275" s="191"/>
      <c r="H275" s="191"/>
      <c r="I275" s="191"/>
      <c r="J275" s="190"/>
      <c r="K275" s="180"/>
      <c r="L275" s="180"/>
      <c r="M275" s="180"/>
      <c r="N275" s="180"/>
      <c r="O275" s="180"/>
      <c r="P275" s="180"/>
    </row>
    <row r="276" spans="1:16" x14ac:dyDescent="0.3">
      <c r="A276" s="8">
        <v>3</v>
      </c>
      <c r="C276" s="99" t="s">
        <v>1185</v>
      </c>
      <c r="D276" s="100" t="s">
        <v>159</v>
      </c>
      <c r="E276" s="101" t="s">
        <v>0</v>
      </c>
      <c r="F276" s="1"/>
      <c r="G276" s="2"/>
      <c r="H276" s="2"/>
      <c r="I276" s="2"/>
      <c r="J276" s="102"/>
      <c r="K276" s="103"/>
      <c r="L276" s="103"/>
      <c r="M276" s="103"/>
      <c r="N276" s="103"/>
      <c r="O276" s="103"/>
      <c r="P276" s="103">
        <f>SUM(L277:L291)</f>
        <v>143.32000000000002</v>
      </c>
    </row>
    <row r="277" spans="1:16" s="170" customFormat="1" x14ac:dyDescent="0.3">
      <c r="C277" s="176"/>
      <c r="D277" s="120" t="s">
        <v>127</v>
      </c>
      <c r="E277" s="121"/>
      <c r="F277" s="3"/>
      <c r="G277" s="122"/>
      <c r="H277" s="122"/>
      <c r="I277" s="122"/>
      <c r="J277" s="119"/>
      <c r="K277" s="113"/>
      <c r="L277" s="113"/>
      <c r="M277" s="180"/>
      <c r="N277" s="180"/>
      <c r="O277" s="180"/>
      <c r="P277" s="180"/>
    </row>
    <row r="278" spans="1:16" s="170" customFormat="1" x14ac:dyDescent="0.3">
      <c r="C278" s="176"/>
      <c r="D278" s="120" t="s">
        <v>427</v>
      </c>
      <c r="E278" s="121"/>
      <c r="F278" s="3"/>
      <c r="G278" s="122"/>
      <c r="H278" s="122"/>
      <c r="I278" s="122"/>
      <c r="J278" s="119"/>
      <c r="K278" s="113"/>
      <c r="L278" s="113"/>
      <c r="M278" s="180"/>
      <c r="N278" s="180"/>
      <c r="O278" s="180"/>
      <c r="P278" s="180"/>
    </row>
    <row r="279" spans="1:16" s="170" customFormat="1" x14ac:dyDescent="0.3">
      <c r="C279" s="176"/>
      <c r="D279" s="4" t="s">
        <v>428</v>
      </c>
      <c r="E279" s="124" t="s">
        <v>0</v>
      </c>
      <c r="F279" s="5">
        <v>1</v>
      </c>
      <c r="G279" s="6" t="s">
        <v>156</v>
      </c>
      <c r="H279" s="6">
        <v>4.92</v>
      </c>
      <c r="I279" s="6"/>
      <c r="J279" s="125">
        <v>1</v>
      </c>
      <c r="K279" s="7"/>
      <c r="L279" s="7">
        <f t="shared" ref="L279:L284" si="19">IF(F279="","",PRODUCT(F279:J279))</f>
        <v>4.92</v>
      </c>
      <c r="M279" s="180"/>
      <c r="N279" s="180"/>
      <c r="O279" s="180"/>
      <c r="P279" s="180"/>
    </row>
    <row r="280" spans="1:16" s="170" customFormat="1" x14ac:dyDescent="0.3">
      <c r="C280" s="176"/>
      <c r="D280" s="4" t="s">
        <v>429</v>
      </c>
      <c r="E280" s="124" t="s">
        <v>0</v>
      </c>
      <c r="F280" s="5">
        <v>1</v>
      </c>
      <c r="G280" s="6" t="s">
        <v>156</v>
      </c>
      <c r="H280" s="6">
        <v>5.94</v>
      </c>
      <c r="I280" s="6"/>
      <c r="J280" s="125">
        <v>1</v>
      </c>
      <c r="K280" s="7"/>
      <c r="L280" s="7">
        <f t="shared" si="19"/>
        <v>5.94</v>
      </c>
      <c r="M280" s="180"/>
      <c r="N280" s="180"/>
      <c r="O280" s="180"/>
      <c r="P280" s="180"/>
    </row>
    <row r="281" spans="1:16" s="170" customFormat="1" x14ac:dyDescent="0.3">
      <c r="C281" s="176"/>
      <c r="D281" s="4" t="s">
        <v>430</v>
      </c>
      <c r="E281" s="124" t="s">
        <v>0</v>
      </c>
      <c r="F281" s="5">
        <v>1</v>
      </c>
      <c r="G281" s="6" t="s">
        <v>156</v>
      </c>
      <c r="H281" s="6">
        <f>14.62-5.72</f>
        <v>8.8999999999999986</v>
      </c>
      <c r="I281" s="6"/>
      <c r="J281" s="125">
        <v>1</v>
      </c>
      <c r="K281" s="7"/>
      <c r="L281" s="7">
        <f t="shared" si="19"/>
        <v>8.8999999999999986</v>
      </c>
      <c r="M281" s="180"/>
      <c r="N281" s="180"/>
      <c r="O281" s="180"/>
      <c r="P281" s="180"/>
    </row>
    <row r="282" spans="1:16" s="170" customFormat="1" x14ac:dyDescent="0.3">
      <c r="C282" s="176"/>
      <c r="D282" s="4" t="s">
        <v>431</v>
      </c>
      <c r="E282" s="124" t="s">
        <v>0</v>
      </c>
      <c r="F282" s="5">
        <v>1</v>
      </c>
      <c r="G282" s="6" t="s">
        <v>156</v>
      </c>
      <c r="H282" s="6">
        <v>11.65</v>
      </c>
      <c r="I282" s="6"/>
      <c r="J282" s="125">
        <v>1</v>
      </c>
      <c r="K282" s="7"/>
      <c r="L282" s="7">
        <f t="shared" si="19"/>
        <v>11.65</v>
      </c>
      <c r="M282" s="180"/>
      <c r="N282" s="180"/>
      <c r="O282" s="180"/>
      <c r="P282" s="180"/>
    </row>
    <row r="283" spans="1:16" s="170" customFormat="1" x14ac:dyDescent="0.3">
      <c r="C283" s="176"/>
      <c r="D283" s="4" t="s">
        <v>432</v>
      </c>
      <c r="E283" s="124" t="s">
        <v>0</v>
      </c>
      <c r="F283" s="5">
        <v>1</v>
      </c>
      <c r="G283" s="6" t="s">
        <v>156</v>
      </c>
      <c r="H283" s="6">
        <v>4.92</v>
      </c>
      <c r="I283" s="6"/>
      <c r="J283" s="125">
        <v>1</v>
      </c>
      <c r="K283" s="7"/>
      <c r="L283" s="7">
        <f t="shared" si="19"/>
        <v>4.92</v>
      </c>
      <c r="M283" s="180"/>
      <c r="N283" s="180"/>
      <c r="O283" s="180"/>
      <c r="P283" s="180"/>
    </row>
    <row r="284" spans="1:16" s="170" customFormat="1" x14ac:dyDescent="0.3">
      <c r="C284" s="176"/>
      <c r="D284" s="4" t="s">
        <v>433</v>
      </c>
      <c r="E284" s="124" t="s">
        <v>0</v>
      </c>
      <c r="F284" s="5">
        <v>1</v>
      </c>
      <c r="G284" s="6" t="s">
        <v>156</v>
      </c>
      <c r="H284" s="6">
        <v>5.92</v>
      </c>
      <c r="I284" s="6"/>
      <c r="J284" s="125">
        <v>1</v>
      </c>
      <c r="K284" s="7"/>
      <c r="L284" s="7">
        <f t="shared" si="19"/>
        <v>5.92</v>
      </c>
      <c r="M284" s="180"/>
      <c r="N284" s="180"/>
      <c r="O284" s="180"/>
      <c r="P284" s="180"/>
    </row>
    <row r="285" spans="1:16" s="170" customFormat="1" x14ac:dyDescent="0.3">
      <c r="C285" s="176"/>
      <c r="D285" s="120" t="s">
        <v>106</v>
      </c>
      <c r="E285" s="121"/>
      <c r="F285" s="3"/>
      <c r="G285" s="122"/>
      <c r="H285" s="122"/>
      <c r="I285" s="122"/>
      <c r="J285" s="119"/>
      <c r="K285" s="113"/>
      <c r="L285" s="113"/>
      <c r="M285" s="180"/>
      <c r="N285" s="180"/>
      <c r="O285" s="180"/>
      <c r="P285" s="180"/>
    </row>
    <row r="286" spans="1:16" s="170" customFormat="1" x14ac:dyDescent="0.3">
      <c r="C286" s="176"/>
      <c r="D286" s="4" t="s">
        <v>434</v>
      </c>
      <c r="E286" s="124" t="s">
        <v>0</v>
      </c>
      <c r="F286" s="5">
        <v>1</v>
      </c>
      <c r="G286" s="6" t="s">
        <v>156</v>
      </c>
      <c r="H286" s="6">
        <f>135.34-31.16</f>
        <v>104.18</v>
      </c>
      <c r="I286" s="6"/>
      <c r="J286" s="125">
        <v>1</v>
      </c>
      <c r="K286" s="7"/>
      <c r="L286" s="7">
        <f>IF(F286="","",PRODUCT(F286:J286))</f>
        <v>104.18</v>
      </c>
      <c r="M286" s="180"/>
      <c r="N286" s="180"/>
      <c r="O286" s="180"/>
      <c r="P286" s="180"/>
    </row>
    <row r="287" spans="1:16" s="170" customFormat="1" x14ac:dyDescent="0.3">
      <c r="C287" s="176"/>
      <c r="D287" s="4" t="s">
        <v>404</v>
      </c>
      <c r="E287" s="124" t="s">
        <v>0</v>
      </c>
      <c r="F287" s="5">
        <v>-1</v>
      </c>
      <c r="G287" s="6" t="s">
        <v>156</v>
      </c>
      <c r="H287" s="6">
        <v>0.03</v>
      </c>
      <c r="I287" s="6"/>
      <c r="J287" s="125">
        <v>24</v>
      </c>
      <c r="K287" s="7"/>
      <c r="L287" s="7">
        <f>IF(F287="","",PRODUCT(F287:J287))</f>
        <v>-0.72</v>
      </c>
      <c r="M287" s="180"/>
      <c r="N287" s="180"/>
      <c r="O287" s="180"/>
      <c r="P287" s="180"/>
    </row>
    <row r="288" spans="1:16" s="170" customFormat="1" x14ac:dyDescent="0.3">
      <c r="C288" s="176"/>
      <c r="D288" s="4" t="s">
        <v>435</v>
      </c>
      <c r="E288" s="124" t="s">
        <v>0</v>
      </c>
      <c r="F288" s="5">
        <v>-1</v>
      </c>
      <c r="G288" s="6" t="s">
        <v>156</v>
      </c>
      <c r="H288" s="6">
        <v>0.24</v>
      </c>
      <c r="I288" s="6"/>
      <c r="J288" s="125">
        <v>2</v>
      </c>
      <c r="K288" s="7"/>
      <c r="L288" s="7">
        <f>IF(F288="","",PRODUCT(F288:J288))</f>
        <v>-0.48</v>
      </c>
      <c r="M288" s="180"/>
      <c r="N288" s="180"/>
      <c r="O288" s="180"/>
      <c r="P288" s="180"/>
    </row>
    <row r="289" spans="3:16" s="170" customFormat="1" x14ac:dyDescent="0.3">
      <c r="C289" s="176"/>
      <c r="D289" s="4" t="s">
        <v>435</v>
      </c>
      <c r="E289" s="124" t="s">
        <v>0</v>
      </c>
      <c r="F289" s="5">
        <v>-1</v>
      </c>
      <c r="G289" s="6" t="s">
        <v>156</v>
      </c>
      <c r="H289" s="6">
        <v>0.21</v>
      </c>
      <c r="I289" s="6"/>
      <c r="J289" s="125">
        <v>6</v>
      </c>
      <c r="K289" s="7"/>
      <c r="L289" s="7">
        <f>IF(F289="","",PRODUCT(F289:J289))</f>
        <v>-1.26</v>
      </c>
      <c r="M289" s="180"/>
      <c r="N289" s="180"/>
      <c r="O289" s="180"/>
      <c r="P289" s="180"/>
    </row>
    <row r="290" spans="3:16" s="170" customFormat="1" x14ac:dyDescent="0.3">
      <c r="C290" s="176"/>
      <c r="D290" s="4" t="s">
        <v>435</v>
      </c>
      <c r="E290" s="124" t="s">
        <v>0</v>
      </c>
      <c r="F290" s="5">
        <v>-1</v>
      </c>
      <c r="G290" s="6" t="s">
        <v>156</v>
      </c>
      <c r="H290" s="6">
        <v>0.05</v>
      </c>
      <c r="I290" s="6"/>
      <c r="J290" s="125">
        <v>13</v>
      </c>
      <c r="K290" s="7"/>
      <c r="L290" s="7">
        <f>IF(F290="","",PRODUCT(F290:J290))</f>
        <v>-0.65</v>
      </c>
      <c r="M290" s="180"/>
      <c r="N290" s="180"/>
      <c r="O290" s="180"/>
      <c r="P290" s="180"/>
    </row>
    <row r="291" spans="3:16" s="170" customFormat="1" x14ac:dyDescent="0.3">
      <c r="C291" s="176"/>
      <c r="D291" s="201"/>
      <c r="E291" s="193"/>
      <c r="F291" s="160"/>
      <c r="G291" s="191"/>
      <c r="H291" s="191"/>
      <c r="I291" s="191"/>
      <c r="J291" s="190"/>
      <c r="K291" s="180"/>
      <c r="L291" s="180"/>
      <c r="M291" s="180"/>
      <c r="N291" s="180"/>
      <c r="O291" s="180"/>
      <c r="P291" s="180"/>
    </row>
    <row r="292" spans="3:16" s="170" customFormat="1" x14ac:dyDescent="0.3">
      <c r="C292" s="176"/>
      <c r="D292" s="201"/>
      <c r="E292" s="193"/>
      <c r="F292" s="160"/>
      <c r="G292" s="191"/>
      <c r="H292" s="191"/>
      <c r="I292" s="191"/>
      <c r="J292" s="190"/>
      <c r="K292" s="180"/>
      <c r="L292" s="180"/>
      <c r="M292" s="180"/>
      <c r="N292" s="180"/>
      <c r="O292" s="180"/>
      <c r="P292" s="180"/>
    </row>
    <row r="293" spans="3:16" s="170" customFormat="1" x14ac:dyDescent="0.3">
      <c r="C293" s="176"/>
      <c r="D293" s="201"/>
      <c r="E293" s="193"/>
      <c r="F293" s="160"/>
      <c r="G293" s="191"/>
      <c r="H293" s="191"/>
      <c r="I293" s="191"/>
      <c r="J293" s="190"/>
      <c r="K293" s="180"/>
      <c r="L293" s="180"/>
      <c r="M293" s="180"/>
      <c r="N293" s="180"/>
      <c r="O293" s="180"/>
      <c r="P293" s="180"/>
    </row>
    <row r="294" spans="3:16" s="170" customFormat="1" x14ac:dyDescent="0.3">
      <c r="C294" s="176"/>
      <c r="D294" s="201"/>
      <c r="E294" s="193"/>
      <c r="F294" s="160"/>
      <c r="G294" s="191"/>
      <c r="H294" s="191"/>
      <c r="I294" s="191"/>
      <c r="J294" s="190"/>
      <c r="K294" s="180"/>
      <c r="L294" s="180"/>
      <c r="M294" s="180"/>
      <c r="N294" s="180"/>
      <c r="O294" s="180"/>
      <c r="P294" s="180"/>
    </row>
  </sheetData>
  <mergeCells count="10">
    <mergeCell ref="C3:P3"/>
    <mergeCell ref="D6:P7"/>
    <mergeCell ref="C14:C15"/>
    <mergeCell ref="D14:D15"/>
    <mergeCell ref="E14:E15"/>
    <mergeCell ref="F14:F15"/>
    <mergeCell ref="G14:I14"/>
    <mergeCell ref="J14:J15"/>
    <mergeCell ref="K14:O14"/>
    <mergeCell ref="P14:P15"/>
  </mergeCells>
  <pageMargins left="0.70866141732283472" right="0.70866141732283472" top="0.74803149606299213" bottom="0.74803149606299213" header="0.31496062992125984" footer="0.31496062992125984"/>
  <pageSetup scale="68" orientation="portrait" blackAndWhite="1" r:id="rId1"/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25</vt:i4>
      </vt:variant>
    </vt:vector>
  </HeadingPairs>
  <TitlesOfParts>
    <vt:vector size="41" baseType="lpstr">
      <vt:lpstr>BLOQUE 1</vt:lpstr>
      <vt:lpstr>BLOQUE 2</vt:lpstr>
      <vt:lpstr>BLOQUE 3</vt:lpstr>
      <vt:lpstr>BLOQUE 4</vt:lpstr>
      <vt:lpstr>BLOQUE 5</vt:lpstr>
      <vt:lpstr>BLOQUE 6</vt:lpstr>
      <vt:lpstr>BLOQUE 7</vt:lpstr>
      <vt:lpstr>BLOQUE 8</vt:lpstr>
      <vt:lpstr>BLOQUE 9</vt:lpstr>
      <vt:lpstr>BLOQUE 10</vt:lpstr>
      <vt:lpstr>BLOQUE 11</vt:lpstr>
      <vt:lpstr>QUIOSCOS P.</vt:lpstr>
      <vt:lpstr>QUIOSCOS S.</vt:lpstr>
      <vt:lpstr>ESTACIONAMIENTO</vt:lpstr>
      <vt:lpstr>GUARDIANIAS</vt:lpstr>
      <vt:lpstr>RESUMEN</vt:lpstr>
      <vt:lpstr>'BLOQUE 1'!Área_de_impresión</vt:lpstr>
      <vt:lpstr>'BLOQUE 10'!Área_de_impresión</vt:lpstr>
      <vt:lpstr>'BLOQUE 11'!Área_de_impresión</vt:lpstr>
      <vt:lpstr>'BLOQUE 2'!Área_de_impresión</vt:lpstr>
      <vt:lpstr>'BLOQUE 5'!Área_de_impresión</vt:lpstr>
      <vt:lpstr>'BLOQUE 6'!Área_de_impresión</vt:lpstr>
      <vt:lpstr>'BLOQUE 7'!Área_de_impresión</vt:lpstr>
      <vt:lpstr>'BLOQUE 8'!Área_de_impresión</vt:lpstr>
      <vt:lpstr>'BLOQUE 9'!Área_de_impresión</vt:lpstr>
      <vt:lpstr>'QUIOSCOS P.'!Área_de_impresión</vt:lpstr>
      <vt:lpstr>'QUIOSCOS S.'!Área_de_impresión</vt:lpstr>
      <vt:lpstr>RESUMEN!Área_de_impresión</vt:lpstr>
      <vt:lpstr>'BLOQUE 1'!Títulos_a_imprimir</vt:lpstr>
      <vt:lpstr>'BLOQUE 10'!Títulos_a_imprimir</vt:lpstr>
      <vt:lpstr>'BLOQUE 11'!Títulos_a_imprimir</vt:lpstr>
      <vt:lpstr>'BLOQUE 2'!Títulos_a_imprimir</vt:lpstr>
      <vt:lpstr>'BLOQUE 3'!Títulos_a_imprimir</vt:lpstr>
      <vt:lpstr>'BLOQUE 4'!Títulos_a_imprimir</vt:lpstr>
      <vt:lpstr>'BLOQUE 5'!Títulos_a_imprimir</vt:lpstr>
      <vt:lpstr>'BLOQUE 6'!Títulos_a_imprimir</vt:lpstr>
      <vt:lpstr>'BLOQUE 7'!Títulos_a_imprimir</vt:lpstr>
      <vt:lpstr>'BLOQUE 8'!Títulos_a_imprimir</vt:lpstr>
      <vt:lpstr>'BLOQUE 9'!Títulos_a_imprimir</vt:lpstr>
      <vt:lpstr>'QUIOSCOS P.'!Títulos_a_imprimir</vt:lpstr>
      <vt:lpstr>'QUIOSCOS S.'!Títulos_a_imprimir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2022-03-24T14:40:41Z</cp:lastPrinted>
  <dcterms:created xsi:type="dcterms:W3CDTF">2022-02-15T23:59:58Z</dcterms:created>
  <dcterms:modified xsi:type="dcterms:W3CDTF">2022-03-24T16:15:43Z</dcterms:modified>
</cp:coreProperties>
</file>